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80" windowHeight="13215" tabRatio="926" firstSheet="19" activeTab="25"/>
  </bookViews>
  <sheets>
    <sheet name="Sheet1" sheetId="1" state="veryHidden" r:id="rId1"/>
    <sheet name="增值税 敏感)" sheetId="2" state="hidden" r:id="rId2"/>
    <sheet name="地价变动影响表2" sheetId="3" state="hidden" r:id="rId3"/>
    <sheet name="Sheet5" sheetId="4" state="hidden" r:id="rId4"/>
    <sheet name="填报指引" sheetId="5" r:id="rId5"/>
    <sheet name="经济指标" sheetId="6" r:id="rId6"/>
    <sheet name="基础信息" sheetId="7" r:id="rId7"/>
    <sheet name="销售计划" sheetId="8" r:id="rId8"/>
    <sheet name="现金流量" sheetId="9" r:id="rId9"/>
    <sheet name="跟投测算" sheetId="10" state="hidden" r:id="rId10"/>
    <sheet name="勾稽关系" sheetId="11" r:id="rId11"/>
    <sheet name="结算计划" sheetId="12" r:id="rId12"/>
    <sheet name="创造利润" sheetId="13" r:id="rId13"/>
    <sheet name="结算利润" sheetId="14" r:id="rId14"/>
    <sheet name="土地增值税" sheetId="15" r:id="rId15"/>
    <sheet name="工程款付款计划" sheetId="16" r:id="rId16"/>
    <sheet name="成本过渡" sheetId="17" r:id="rId17"/>
    <sheet name="成本汇总" sheetId="18" r:id="rId18"/>
    <sheet name="公摊费用及期间费" sheetId="19" r:id="rId19"/>
    <sheet name="全期规划指标" sheetId="20" r:id="rId20"/>
    <sheet name="地价分摊表" sheetId="21" r:id="rId21"/>
    <sheet name="全期合约金额规划表" sheetId="22" r:id="rId22"/>
    <sheet name="产值规划表" sheetId="23" r:id="rId23"/>
    <sheet name="标准合同目录" sheetId="24" r:id="rId24"/>
    <sheet name="跨期成本分摊明细表" sheetId="25" r:id="rId25"/>
    <sheet name="高层住宅 " sheetId="26" r:id="rId26"/>
    <sheet name="多层洋房" sheetId="27" r:id="rId27"/>
    <sheet name="办公" sheetId="28" r:id="rId28"/>
    <sheet name="街区式商业" sheetId="29" r:id="rId29"/>
    <sheet name="普通地下室" sheetId="30" r:id="rId30"/>
    <sheet name="配套测算表（示例）" sheetId="31" r:id="rId31"/>
    <sheet name="合约规划原则" sheetId="32" r:id="rId32"/>
    <sheet name="价格波动对成本影响的模拟推演" sheetId="33" r:id="rId33"/>
    <sheet name="填表指引" sheetId="34" state="hidden" r:id="rId34"/>
    <sheet name="填表指引 (成本)" sheetId="35" state="hidden" r:id="rId35"/>
    <sheet name="可售底商" sheetId="36" state="hidden" r:id="rId36"/>
    <sheet name="高层18" sheetId="37" state="hidden" r:id="rId37"/>
    <sheet name="超高层(46)" sheetId="38" state="hidden" r:id="rId38"/>
    <sheet name="购物中心-销售部分" sheetId="39" state="hidden" r:id="rId39"/>
    <sheet name="购物中心-持有部分" sheetId="40" state="hidden" r:id="rId40"/>
    <sheet name="保护建筑(销售商业)" sheetId="41" state="hidden" r:id="rId41"/>
    <sheet name="保护建筑(持有商业)" sheetId="42" state="hidden" r:id="rId42"/>
    <sheet name="高层还建房" sheetId="43" state="hidden" r:id="rId43"/>
    <sheet name="持有商业" sheetId="44" state="hidden" r:id="rId44"/>
    <sheet name="公寓" sheetId="45" state="hidden" r:id="rId45"/>
    <sheet name="超市" sheetId="46" state="hidden" r:id="rId46"/>
    <sheet name="办公楼" sheetId="47" state="hidden" r:id="rId47"/>
    <sheet name="独栋" sheetId="48" state="hidden" r:id="rId48"/>
    <sheet name="酒店" sheetId="49" state="hidden" r:id="rId49"/>
    <sheet name="叠拼" sheetId="50" state="hidden" r:id="rId50"/>
  </sheets>
  <externalReferences>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s>
  <definedNames>
    <definedName name="_xlnm._FilterDatabase" localSheetId="8" hidden="1">现金流量!$A$25:$AR$29</definedName>
    <definedName name="_xlnm._FilterDatabase" localSheetId="21" hidden="1">全期合约金额规划表!$A$2:$L$106</definedName>
    <definedName name="_xlnm._FilterDatabase" localSheetId="22" hidden="1">产值规划表!$A$2:$E$106</definedName>
    <definedName name="_xlnm._FilterDatabase" localSheetId="23" hidden="1">标准合同目录!$B$108:$M$211</definedName>
    <definedName name="_xlnm._FilterDatabase" localSheetId="25" hidden="1">'高层住宅 '!$A$3:$Y$205</definedName>
    <definedName name="_xlnm._FilterDatabase" localSheetId="26" hidden="1">多层洋房!$A$3:$Y$202</definedName>
    <definedName name="_xlnm._FilterDatabase" localSheetId="27" hidden="1">办公!$A$3:$Y$205</definedName>
    <definedName name="_xlnm._FilterDatabase" localSheetId="28" hidden="1">街区式商业!$A$3:$Z$198</definedName>
    <definedName name="_xlnm._FilterDatabase" localSheetId="29" hidden="1">普通地下室!$A$3:$AB$199</definedName>
    <definedName name="_xlnm._FilterDatabase" localSheetId="30" hidden="1">'配套测算表（示例）'!$A$3:$Z$199</definedName>
    <definedName name="_xlnm._FilterDatabase" localSheetId="31" hidden="1">合约规划原则!$B$8:$F$83</definedName>
    <definedName name="_5区东建筑面积" localSheetId="27">'[1]2.1设计部'!#REF!</definedName>
    <definedName name="_5区东建筑面积" localSheetId="26">'[1]2.1设计部'!#REF!</definedName>
    <definedName name="_5区东建筑面积">'[1]2.1设计部'!#REF!</definedName>
    <definedName name="_5区建筑面积" localSheetId="27">'[1]2.1设计部'!#REF!</definedName>
    <definedName name="_5区建筑面积" localSheetId="26">'[1]2.1设计部'!#REF!</definedName>
    <definedName name="_5区建筑面积">'[1]2.1设计部'!#REF!</definedName>
    <definedName name="_5区西建筑面积" localSheetId="27">'[1]2.1设计部'!#REF!</definedName>
    <definedName name="_5区西建筑面积" localSheetId="26">'[1]2.1设计部'!#REF!</definedName>
    <definedName name="_5区西建筑面积">'[1]2.1设计部'!#REF!</definedName>
    <definedName name="_8_8" localSheetId="27">EVALUATE+#REF!</definedName>
    <definedName name="_8_8" localSheetId="46">EVALUATE+#REF!</definedName>
    <definedName name="_8_8" localSheetId="22">EVALUATE+#REF!</definedName>
    <definedName name="_8_8" localSheetId="37">EVALUATE+#REF!</definedName>
    <definedName name="_8_8" localSheetId="45">EVALUATE+#REF!</definedName>
    <definedName name="_8_8" localSheetId="43">EVALUATE+#REF!</definedName>
    <definedName name="_8_8" localSheetId="26">EVALUATE+#REF!</definedName>
    <definedName name="_8_8" localSheetId="9">EVALUATE+#REF!</definedName>
    <definedName name="_8_8" localSheetId="44">EVALUATE+#REF!</definedName>
    <definedName name="_8_8" localSheetId="29">EVALUATE+#REF!</definedName>
    <definedName name="_8_8" localSheetId="19">EVALUATE+#REF!</definedName>
    <definedName name="_8_8" localSheetId="34">EVALUATE+#REF!</definedName>
    <definedName name="_8_8">EVALUATE+#REF!</definedName>
    <definedName name="_xlnm._FilterDatabase" localSheetId="17" hidden="1">成本汇总!$AO$35:$AO$40</definedName>
    <definedName name="_xlnm._FilterDatabase" localSheetId="18" hidden="1">公摊费用及期间费!$A$4:$T$259</definedName>
    <definedName name="_xlnm._FilterDatabase" localSheetId="24" hidden="1">跨期成本分摊明细表!$A$8:$AA$242</definedName>
    <definedName name="_工程名称" localSheetId="34">[2]Sheet2!$A$1</definedName>
    <definedName name="_工程名称">[3]Sheet2!$A$1</definedName>
    <definedName name="data" localSheetId="27">#REF!</definedName>
    <definedName name="data" localSheetId="22">#REF!</definedName>
    <definedName name="data" localSheetId="26">#REF!</definedName>
    <definedName name="data" localSheetId="9">#REF!</definedName>
    <definedName name="data" localSheetId="34">#REF!</definedName>
    <definedName name="data">#REF!</definedName>
    <definedName name="jhf" localSheetId="27">[4]设计部!#REF!</definedName>
    <definedName name="jhf" localSheetId="26">[4]设计部!#REF!</definedName>
    <definedName name="jhf">[4]设计部!#REF!</definedName>
    <definedName name="_xlnm.Print_Area" localSheetId="40">'保护建筑(销售商业)'!$A$1:$M$57</definedName>
    <definedName name="_xlnm.Print_Area" localSheetId="37">'超高层(46)'!$A$1:$AD$151</definedName>
    <definedName name="_xlnm.Print_Area" localSheetId="17">成本汇总!$A$1:$AR$49</definedName>
    <definedName name="_xlnm.Print_Area" localSheetId="18">公摊费用及期间费!$A$2:$P$264</definedName>
    <definedName name="_xlnm.Print_Area" localSheetId="44">公寓!$A$1:$AD$173</definedName>
    <definedName name="_xlnm.Print_Titles" localSheetId="37">'超高层(46)'!$1:$8</definedName>
    <definedName name="_xlnm.Print_Titles" localSheetId="17">成本汇总!$1:$5</definedName>
    <definedName name="_xlnm.Print_Titles" localSheetId="18">公摊费用及期间费!$2:$4</definedName>
    <definedName name="_xlnm.Print_Titles" localSheetId="44">公寓!$1:$8</definedName>
    <definedName name="_xlnm.Print_Titles" localSheetId="29">普通地下室!$1:$3</definedName>
    <definedName name="阿瑟">'[5]5201.2004'!$A$1:$I$24</definedName>
    <definedName name="比例" localSheetId="27">#REF!</definedName>
    <definedName name="比例" localSheetId="22">#REF!</definedName>
    <definedName name="比例" localSheetId="26">#REF!</definedName>
    <definedName name="比例" localSheetId="9">#REF!</definedName>
    <definedName name="比例" localSheetId="34">#REF!</definedName>
    <definedName name="比例">#REF!</definedName>
    <definedName name="产品成本分摊表" localSheetId="27">#REF!</definedName>
    <definedName name="产品成本分摊表" localSheetId="22">#REF!</definedName>
    <definedName name="产品成本分摊表" localSheetId="26">#REF!</definedName>
    <definedName name="产品成本分摊表" localSheetId="34">#REF!</definedName>
    <definedName name="产品成本分摊表">#REF!</definedName>
    <definedName name="产品怕009" localSheetId="27">'[1]2.1设计部'!#REF!</definedName>
    <definedName name="产品怕009" localSheetId="26">'[1]2.1设计部'!#REF!</definedName>
    <definedName name="产品怕009">'[1]2.1设计部'!#REF!</definedName>
    <definedName name="待发生成本预测" localSheetId="27">#REF!</definedName>
    <definedName name="待发生成本预测" localSheetId="22">#REF!</definedName>
    <definedName name="待发生成本预测" localSheetId="26">#REF!</definedName>
    <definedName name="待发生成本预测" localSheetId="34">#REF!</definedName>
    <definedName name="待发生成本预测">#REF!</definedName>
    <definedName name="地价分摊表1">[6]Sheet2!$A$1</definedName>
    <definedName name="地下车库" localSheetId="27">EVALUATE+#REF!</definedName>
    <definedName name="地下车库" localSheetId="22">EVALUATE+#REF!</definedName>
    <definedName name="地下车库" localSheetId="26">EVALUATE+#REF!</definedName>
    <definedName name="地下车库" localSheetId="34">EVALUATE+#REF!</definedName>
    <definedName name="地下车库">EVALUATE+#REF!</definedName>
    <definedName name="二期环境面积">[7]基本参数!$C$15</definedName>
    <definedName name="二期可售面积">[7]成本估算!$C$6</definedName>
    <definedName name="发1" localSheetId="27">[8]设计部!#REF!</definedName>
    <definedName name="发1" localSheetId="26">[8]设计部!#REF!</definedName>
    <definedName name="发1">[8]设计部!#REF!</definedName>
    <definedName name="高层1" localSheetId="27">EVALUATE+#REF!</definedName>
    <definedName name="高层1" localSheetId="22">EVALUATE+#REF!</definedName>
    <definedName name="高层1" localSheetId="26">EVALUATE+#REF!</definedName>
    <definedName name="高层1" localSheetId="34">EVALUATE+#REF!</definedName>
    <definedName name="高层1">EVALUATE+#REF!</definedName>
    <definedName name="核算项目明细账_1133_06_00" localSheetId="27">#REF!</definedName>
    <definedName name="核算项目明细账_1133_06_00" localSheetId="22">#REF!</definedName>
    <definedName name="核算项目明细账_1133_06_00" localSheetId="26">#REF!</definedName>
    <definedName name="核算项目明细账_1133_06_00" localSheetId="34">#REF!</definedName>
    <definedName name="核算项目明细账_1133_06_00">#REF!</definedName>
    <definedName name="户数">[9]规划指标!$N$11:$O$14</definedName>
    <definedName name="开间费" localSheetId="27">#REF!</definedName>
    <definedName name="开间费" localSheetId="22">#REF!</definedName>
    <definedName name="开间费" localSheetId="26">#REF!</definedName>
    <definedName name="开间费" localSheetId="34">#REF!</definedName>
    <definedName name="开间费">#REF!</definedName>
    <definedName name="科目余额表" localSheetId="27">#REF!</definedName>
    <definedName name="科目余额表" localSheetId="22">#REF!</definedName>
    <definedName name="科目余额表" localSheetId="26">#REF!</definedName>
    <definedName name="科目余额表" localSheetId="34">#REF!</definedName>
    <definedName name="科目余额表">#REF!</definedName>
    <definedName name="可售写字楼" localSheetId="27">#REF!</definedName>
    <definedName name="可售写字楼" localSheetId="22">#REF!</definedName>
    <definedName name="可售写字楼" localSheetId="26">#REF!</definedName>
    <definedName name="可售写字楼" localSheetId="34">#REF!</definedName>
    <definedName name="可售写字楼">#REF!</definedName>
    <definedName name="栏杆价格明细" localSheetId="27">EVALUATE+#REF!</definedName>
    <definedName name="栏杆价格明细" localSheetId="46">EVALUATE+#REF!</definedName>
    <definedName name="栏杆价格明细" localSheetId="22">EVALUATE+#REF!</definedName>
    <definedName name="栏杆价格明细" localSheetId="37">EVALUATE+#REF!</definedName>
    <definedName name="栏杆价格明细" localSheetId="45">EVALUATE+#REF!</definedName>
    <definedName name="栏杆价格明细" localSheetId="43">EVALUATE+#REF!</definedName>
    <definedName name="栏杆价格明细" localSheetId="26">EVALUATE+#REF!</definedName>
    <definedName name="栏杆价格明细" localSheetId="9">EVALUATE+#REF!</definedName>
    <definedName name="栏杆价格明细" localSheetId="44">EVALUATE+#REF!</definedName>
    <definedName name="栏杆价格明细" localSheetId="29">EVALUATE+#REF!</definedName>
    <definedName name="栏杆价格明细" localSheetId="19">EVALUATE+#REF!</definedName>
    <definedName name="栏杆价格明细" localSheetId="34">EVALUATE+#REF!</definedName>
    <definedName name="栏杆价格明细">EVALUATE+#REF!</definedName>
    <definedName name="栏杆价格明细1" localSheetId="27">EVALUATE+#REF!</definedName>
    <definedName name="栏杆价格明细1" localSheetId="22">EVALUATE+#REF!</definedName>
    <definedName name="栏杆价格明细1" localSheetId="26">EVALUATE+#REF!</definedName>
    <definedName name="栏杆价格明细1" localSheetId="34">EVALUATE+#REF!</definedName>
    <definedName name="栏杆价格明细1">EVALUATE+#REF!</definedName>
    <definedName name="利息总额" localSheetId="27">#REF!</definedName>
    <definedName name="利息总额" localSheetId="22">#REF!</definedName>
    <definedName name="利息总额" localSheetId="26">#REF!</definedName>
    <definedName name="利息总额" localSheetId="9">#REF!</definedName>
    <definedName name="利息总额" localSheetId="34">#REF!</definedName>
    <definedName name="利息总额">#REF!</definedName>
    <definedName name="联排别墅不含地下室" localSheetId="27">#REF!</definedName>
    <definedName name="联排别墅不含地下室" localSheetId="22">#REF!</definedName>
    <definedName name="联排别墅不含地下室" localSheetId="26">#REF!</definedName>
    <definedName name="联排别墅不含地下室" localSheetId="34">#REF!</definedName>
    <definedName name="联排别墅不含地下室">#REF!</definedName>
    <definedName name="面积" localSheetId="27">#REF!</definedName>
    <definedName name="面积" localSheetId="22">#REF!</definedName>
    <definedName name="面积" localSheetId="26">#REF!</definedName>
    <definedName name="面积" localSheetId="34">#REF!</definedName>
    <definedName name="面积">#REF!</definedName>
    <definedName name="明细分类账" localSheetId="27">#REF!</definedName>
    <definedName name="明细分类账" localSheetId="22">#REF!</definedName>
    <definedName name="明细分类账" localSheetId="26">#REF!</definedName>
    <definedName name="明细分类账" localSheetId="34">#REF!</definedName>
    <definedName name="明细分类账">#REF!</definedName>
    <definedName name="全项目动态成本表" localSheetId="27">#REF!</definedName>
    <definedName name="全项目动态成本表" localSheetId="22">#REF!</definedName>
    <definedName name="全项目动态成本表" localSheetId="26">#REF!</definedName>
    <definedName name="全项目动态成本表" localSheetId="34">#REF!</definedName>
    <definedName name="全项目动态成本表">#REF!</definedName>
    <definedName name="入口商业" localSheetId="27">EVALUATE+#REF!</definedName>
    <definedName name="入口商业" localSheetId="22">EVALUATE+#REF!</definedName>
    <definedName name="入口商业" localSheetId="26">EVALUATE+#REF!</definedName>
    <definedName name="入口商业" localSheetId="34">EVALUATE+#REF!</definedName>
    <definedName name="入口商业">EVALUATE+#REF!</definedName>
    <definedName name="室内装修价格明细" localSheetId="27">EVALUATE+#REF!</definedName>
    <definedName name="室内装修价格明细" localSheetId="46">EVALUATE+#REF!</definedName>
    <definedName name="室内装修价格明细" localSheetId="22">EVALUATE+#REF!</definedName>
    <definedName name="室内装修价格明细" localSheetId="37">EVALUATE+#REF!</definedName>
    <definedName name="室内装修价格明细" localSheetId="45">EVALUATE+#REF!</definedName>
    <definedName name="室内装修价格明细" localSheetId="43">EVALUATE+#REF!</definedName>
    <definedName name="室内装修价格明细" localSheetId="26">EVALUATE+#REF!</definedName>
    <definedName name="室内装修价格明细" localSheetId="9">EVALUATE+#REF!</definedName>
    <definedName name="室内装修价格明细" localSheetId="44">EVALUATE+#REF!</definedName>
    <definedName name="室内装修价格明细" localSheetId="29">EVALUATE+#REF!</definedName>
    <definedName name="室内装修价格明细" localSheetId="19">EVALUATE+#REF!</definedName>
    <definedName name="室内装修价格明细" localSheetId="34">EVALUATE+#REF!</definedName>
    <definedName name="室内装修价格明细">EVALUATE+#REF!</definedName>
    <definedName name="现金流量表" localSheetId="27">#REF!</definedName>
    <definedName name="现金流量表" localSheetId="22">#REF!</definedName>
    <definedName name="现金流量表" localSheetId="26">#REF!</definedName>
    <definedName name="现金流量表" localSheetId="9">#REF!</definedName>
    <definedName name="现金流量表" localSheetId="34">#REF!</definedName>
    <definedName name="现金流量表">#REF!</definedName>
    <definedName name="总建筑面积">[7]成本估算!$B$6</definedName>
  </definedNames>
  <calcPr calcId="144525"/>
</workbook>
</file>

<file path=xl/comments1.xml><?xml version="1.0" encoding="utf-8"?>
<comments xmlns="http://schemas.openxmlformats.org/spreadsheetml/2006/main">
  <authors>
    <author>liuz</author>
  </authors>
  <commentList>
    <comment ref="A11" authorId="0">
      <text>
        <r>
          <rPr>
            <b/>
            <sz val="9"/>
            <rFont val="宋体"/>
            <charset val="134"/>
          </rPr>
          <t>lidp:</t>
        </r>
        <r>
          <rPr>
            <sz val="9"/>
            <rFont val="宋体"/>
            <charset val="134"/>
          </rPr>
          <t xml:space="preserve">
</t>
        </r>
        <r>
          <rPr>
            <sz val="9"/>
            <rFont val="宋体"/>
            <charset val="134"/>
          </rPr>
          <t xml:space="preserve">剔除利息费用
</t>
        </r>
      </text>
    </comment>
    <comment ref="A17" authorId="0">
      <text>
        <r>
          <rPr>
            <b/>
            <sz val="9"/>
            <rFont val="宋体"/>
            <charset val="134"/>
          </rPr>
          <t>lidp:</t>
        </r>
        <r>
          <rPr>
            <sz val="9"/>
            <rFont val="宋体"/>
            <charset val="134"/>
          </rPr>
          <t xml:space="preserve">
</t>
        </r>
        <r>
          <rPr>
            <sz val="9"/>
            <rFont val="宋体"/>
            <charset val="134"/>
          </rPr>
          <t>包含资本化利息</t>
        </r>
      </text>
    </comment>
    <comment ref="A23" authorId="0">
      <text>
        <r>
          <rPr>
            <b/>
            <sz val="9"/>
            <rFont val="宋体"/>
            <charset val="134"/>
          </rPr>
          <t>liuz:</t>
        </r>
        <r>
          <rPr>
            <sz val="9"/>
            <rFont val="宋体"/>
            <charset val="134"/>
          </rPr>
          <t xml:space="preserve">
</t>
        </r>
        <r>
          <rPr>
            <sz val="9"/>
            <rFont val="宋体"/>
            <charset val="134"/>
          </rPr>
          <t xml:space="preserve">只包含营业税、城市维护建设税、教育费附加
</t>
        </r>
      </text>
    </comment>
    <comment ref="A29" authorId="0">
      <text>
        <r>
          <rPr>
            <b/>
            <sz val="9"/>
            <rFont val="宋体"/>
            <charset val="134"/>
          </rPr>
          <t>liDP</t>
        </r>
        <r>
          <rPr>
            <sz val="9"/>
            <rFont val="宋体"/>
            <charset val="134"/>
          </rPr>
          <t xml:space="preserve">
</t>
        </r>
        <r>
          <rPr>
            <sz val="9"/>
            <rFont val="宋体"/>
            <charset val="134"/>
          </rPr>
          <t>不含资本化利息</t>
        </r>
      </text>
    </comment>
  </commentList>
</comments>
</file>

<file path=xl/comments10.xml><?xml version="1.0" encoding="utf-8"?>
<comments xmlns="http://schemas.openxmlformats.org/spreadsheetml/2006/main">
  <authors>
    <author>DZHD01.陈剑</author>
  </authors>
  <commentList>
    <comment ref="J29" authorId="0">
      <text>
        <r>
          <rPr>
            <b/>
            <sz val="9"/>
            <rFont val="宋体"/>
            <charset val="134"/>
          </rPr>
          <t>DZHD01.陈剑:</t>
        </r>
        <r>
          <rPr>
            <sz val="9"/>
            <rFont val="宋体"/>
            <charset val="134"/>
          </rPr>
          <t xml:space="preserve">
</t>
        </r>
        <r>
          <rPr>
            <sz val="9"/>
            <rFont val="宋体"/>
            <charset val="134"/>
          </rPr>
          <t>直接引用元测算表数据</t>
        </r>
      </text>
    </comment>
    <comment ref="D53" authorId="0">
      <text>
        <r>
          <rPr>
            <b/>
            <sz val="9"/>
            <rFont val="宋体"/>
            <charset val="134"/>
          </rPr>
          <t>DZHD01.陈剑:</t>
        </r>
        <r>
          <rPr>
            <sz val="9"/>
            <rFont val="宋体"/>
            <charset val="134"/>
          </rPr>
          <t xml:space="preserve">
</t>
        </r>
        <r>
          <rPr>
            <sz val="9"/>
            <rFont val="宋体"/>
            <charset val="134"/>
          </rPr>
          <t>聚苯板原测算甲供，保温板分包，均单独合同，本次直接放入总包</t>
        </r>
      </text>
    </comment>
    <comment ref="F134" authorId="0">
      <text>
        <r>
          <rPr>
            <b/>
            <sz val="9"/>
            <rFont val="宋体"/>
            <charset val="134"/>
          </rPr>
          <t>DZHD01.陈剑:</t>
        </r>
        <r>
          <rPr>
            <sz val="9"/>
            <rFont val="宋体"/>
            <charset val="134"/>
          </rPr>
          <t xml:space="preserve">
</t>
        </r>
        <r>
          <rPr>
            <sz val="9"/>
            <rFont val="宋体"/>
            <charset val="134"/>
          </rPr>
          <t>算地下，故+1</t>
        </r>
      </text>
    </comment>
    <comment ref="F142" authorId="0">
      <text>
        <r>
          <rPr>
            <b/>
            <sz val="9"/>
            <rFont val="宋体"/>
            <charset val="134"/>
          </rPr>
          <t>DZHD01.陈剑:</t>
        </r>
        <r>
          <rPr>
            <sz val="9"/>
            <rFont val="宋体"/>
            <charset val="134"/>
          </rPr>
          <t xml:space="preserve">
</t>
        </r>
        <r>
          <rPr>
            <sz val="9"/>
            <rFont val="宋体"/>
            <charset val="134"/>
          </rPr>
          <t>算地下，故+1</t>
        </r>
      </text>
    </comment>
    <comment ref="F167" authorId="0">
      <text>
        <r>
          <rPr>
            <b/>
            <sz val="9"/>
            <rFont val="宋体"/>
            <charset val="134"/>
          </rPr>
          <t>DZHD01.陈剑:</t>
        </r>
        <r>
          <rPr>
            <sz val="9"/>
            <rFont val="宋体"/>
            <charset val="134"/>
          </rPr>
          <t xml:space="preserve">
</t>
        </r>
        <r>
          <rPr>
            <sz val="9"/>
            <rFont val="宋体"/>
            <charset val="134"/>
          </rPr>
          <t>算地下，故+1</t>
        </r>
      </text>
    </comment>
    <comment ref="F169" authorId="0">
      <text>
        <r>
          <rPr>
            <b/>
            <sz val="9"/>
            <rFont val="宋体"/>
            <charset val="134"/>
          </rPr>
          <t>DZHD01.陈剑:</t>
        </r>
        <r>
          <rPr>
            <sz val="9"/>
            <rFont val="宋体"/>
            <charset val="134"/>
          </rPr>
          <t xml:space="preserve">
</t>
        </r>
        <r>
          <rPr>
            <sz val="9"/>
            <rFont val="宋体"/>
            <charset val="134"/>
          </rPr>
          <t>去掉架空层，故-1</t>
        </r>
      </text>
    </comment>
    <comment ref="F170" authorId="0">
      <text>
        <r>
          <rPr>
            <b/>
            <sz val="9"/>
            <rFont val="宋体"/>
            <charset val="134"/>
          </rPr>
          <t>DZHD01.陈剑:</t>
        </r>
        <r>
          <rPr>
            <sz val="9"/>
            <rFont val="宋体"/>
            <charset val="134"/>
          </rPr>
          <t xml:space="preserve">
</t>
        </r>
        <r>
          <rPr>
            <sz val="9"/>
            <rFont val="宋体"/>
            <charset val="134"/>
          </rPr>
          <t>去掉架空层，故-1</t>
        </r>
      </text>
    </comment>
    <comment ref="F171" authorId="0">
      <text>
        <r>
          <rPr>
            <b/>
            <sz val="9"/>
            <rFont val="宋体"/>
            <charset val="134"/>
          </rPr>
          <t>DZHD01.陈剑:</t>
        </r>
        <r>
          <rPr>
            <sz val="9"/>
            <rFont val="宋体"/>
            <charset val="134"/>
          </rPr>
          <t xml:space="preserve">
</t>
        </r>
        <r>
          <rPr>
            <sz val="9"/>
            <rFont val="宋体"/>
            <charset val="134"/>
          </rPr>
          <t>去掉架空层，故-1</t>
        </r>
      </text>
    </comment>
  </commentList>
</comments>
</file>

<file path=xl/comments11.xml><?xml version="1.0" encoding="utf-8"?>
<comments xmlns="http://schemas.openxmlformats.org/spreadsheetml/2006/main">
  <authors>
    <author>DZHD01.陈剑</author>
  </authors>
  <commentList>
    <comment ref="J29" authorId="0">
      <text>
        <r>
          <rPr>
            <b/>
            <sz val="9"/>
            <rFont val="宋体"/>
            <charset val="134"/>
          </rPr>
          <t>DZHD01.陈剑:</t>
        </r>
        <r>
          <rPr>
            <sz val="9"/>
            <rFont val="宋体"/>
            <charset val="134"/>
          </rPr>
          <t xml:space="preserve">
</t>
        </r>
        <r>
          <rPr>
            <sz val="9"/>
            <rFont val="宋体"/>
            <charset val="134"/>
          </rPr>
          <t>直接引用元测算表数据</t>
        </r>
      </text>
    </comment>
    <comment ref="D54" authorId="0">
      <text>
        <r>
          <rPr>
            <b/>
            <sz val="9"/>
            <rFont val="宋体"/>
            <charset val="134"/>
          </rPr>
          <t>DZHD01.陈剑:</t>
        </r>
        <r>
          <rPr>
            <sz val="9"/>
            <rFont val="宋体"/>
            <charset val="134"/>
          </rPr>
          <t xml:space="preserve">
</t>
        </r>
        <r>
          <rPr>
            <sz val="9"/>
            <rFont val="宋体"/>
            <charset val="134"/>
          </rPr>
          <t>聚苯板原测算甲供，保温板分包，均单独合同，本次直接放入总包</t>
        </r>
      </text>
    </comment>
    <comment ref="F137" authorId="0">
      <text>
        <r>
          <rPr>
            <b/>
            <sz val="9"/>
            <rFont val="宋体"/>
            <charset val="134"/>
          </rPr>
          <t>DZHD01.陈剑:</t>
        </r>
        <r>
          <rPr>
            <sz val="9"/>
            <rFont val="宋体"/>
            <charset val="134"/>
          </rPr>
          <t xml:space="preserve">
</t>
        </r>
        <r>
          <rPr>
            <sz val="9"/>
            <rFont val="宋体"/>
            <charset val="134"/>
          </rPr>
          <t>算地下，故+1</t>
        </r>
      </text>
    </comment>
    <comment ref="F145" authorId="0">
      <text>
        <r>
          <rPr>
            <b/>
            <sz val="9"/>
            <rFont val="宋体"/>
            <charset val="134"/>
          </rPr>
          <t>DZHD01.陈剑:</t>
        </r>
        <r>
          <rPr>
            <sz val="9"/>
            <rFont val="宋体"/>
            <charset val="134"/>
          </rPr>
          <t xml:space="preserve">
</t>
        </r>
        <r>
          <rPr>
            <sz val="9"/>
            <rFont val="宋体"/>
            <charset val="134"/>
          </rPr>
          <t>算地下，故+1</t>
        </r>
      </text>
    </comment>
    <comment ref="F170" authorId="0">
      <text>
        <r>
          <rPr>
            <b/>
            <sz val="9"/>
            <rFont val="宋体"/>
            <charset val="134"/>
          </rPr>
          <t>DZHD01.陈剑:</t>
        </r>
        <r>
          <rPr>
            <sz val="9"/>
            <rFont val="宋体"/>
            <charset val="134"/>
          </rPr>
          <t xml:space="preserve">
</t>
        </r>
        <r>
          <rPr>
            <sz val="9"/>
            <rFont val="宋体"/>
            <charset val="134"/>
          </rPr>
          <t>算地下，故+1</t>
        </r>
      </text>
    </comment>
    <comment ref="F172" authorId="0">
      <text>
        <r>
          <rPr>
            <b/>
            <sz val="9"/>
            <rFont val="宋体"/>
            <charset val="134"/>
          </rPr>
          <t>DZHD01.陈剑:</t>
        </r>
        <r>
          <rPr>
            <sz val="9"/>
            <rFont val="宋体"/>
            <charset val="134"/>
          </rPr>
          <t xml:space="preserve">
</t>
        </r>
        <r>
          <rPr>
            <sz val="9"/>
            <rFont val="宋体"/>
            <charset val="134"/>
          </rPr>
          <t>去掉架空层，故-1</t>
        </r>
      </text>
    </comment>
    <comment ref="F173" authorId="0">
      <text>
        <r>
          <rPr>
            <b/>
            <sz val="9"/>
            <rFont val="宋体"/>
            <charset val="134"/>
          </rPr>
          <t>DZHD01.陈剑:</t>
        </r>
        <r>
          <rPr>
            <sz val="9"/>
            <rFont val="宋体"/>
            <charset val="134"/>
          </rPr>
          <t xml:space="preserve">
</t>
        </r>
        <r>
          <rPr>
            <sz val="9"/>
            <rFont val="宋体"/>
            <charset val="134"/>
          </rPr>
          <t>去掉架空层，故-1</t>
        </r>
      </text>
    </comment>
    <comment ref="F174" authorId="0">
      <text>
        <r>
          <rPr>
            <b/>
            <sz val="9"/>
            <rFont val="宋体"/>
            <charset val="134"/>
          </rPr>
          <t>DZHD01.陈剑:</t>
        </r>
        <r>
          <rPr>
            <sz val="9"/>
            <rFont val="宋体"/>
            <charset val="134"/>
          </rPr>
          <t xml:space="preserve">
</t>
        </r>
        <r>
          <rPr>
            <sz val="9"/>
            <rFont val="宋体"/>
            <charset val="134"/>
          </rPr>
          <t>去掉架空层，故-1</t>
        </r>
      </text>
    </comment>
  </commentList>
</comments>
</file>

<file path=xl/comments12.xml><?xml version="1.0" encoding="utf-8"?>
<comments xmlns="http://schemas.openxmlformats.org/spreadsheetml/2006/main">
  <authors>
    <author>DWXIB05.周建峰</author>
    <author>DZHD01.陈剑</author>
  </authors>
  <commentList>
    <comment ref="D24" authorId="0">
      <text>
        <r>
          <rPr>
            <b/>
            <sz val="9"/>
            <rFont val="宋体"/>
            <charset val="134"/>
          </rPr>
          <t>DWXIB05.周建峰:</t>
        </r>
        <r>
          <rPr>
            <sz val="9"/>
            <rFont val="宋体"/>
            <charset val="134"/>
          </rPr>
          <t xml:space="preserve">
</t>
        </r>
        <r>
          <rPr>
            <sz val="9"/>
            <rFont val="宋体"/>
            <charset val="134"/>
          </rPr>
          <t>含基层及找平层</t>
        </r>
      </text>
    </comment>
    <comment ref="J29" authorId="1">
      <text>
        <r>
          <rPr>
            <b/>
            <sz val="9"/>
            <rFont val="宋体"/>
            <charset val="134"/>
          </rPr>
          <t>DZHD01.陈剑:</t>
        </r>
        <r>
          <rPr>
            <sz val="9"/>
            <rFont val="宋体"/>
            <charset val="134"/>
          </rPr>
          <t xml:space="preserve">
</t>
        </r>
        <r>
          <rPr>
            <sz val="9"/>
            <rFont val="宋体"/>
            <charset val="134"/>
          </rPr>
          <t>直接引用元测算表数据</t>
        </r>
      </text>
    </comment>
    <comment ref="D53" authorId="1">
      <text>
        <r>
          <rPr>
            <b/>
            <sz val="9"/>
            <rFont val="宋体"/>
            <charset val="134"/>
          </rPr>
          <t>DZHD01.陈剑:</t>
        </r>
        <r>
          <rPr>
            <sz val="9"/>
            <rFont val="宋体"/>
            <charset val="134"/>
          </rPr>
          <t xml:space="preserve">
</t>
        </r>
        <r>
          <rPr>
            <sz val="9"/>
            <rFont val="宋体"/>
            <charset val="134"/>
          </rPr>
          <t>聚苯板原测算甲供，保温板分包，均单独合同，本次直接放入总包</t>
        </r>
      </text>
    </comment>
    <comment ref="F133" authorId="1">
      <text>
        <r>
          <rPr>
            <b/>
            <sz val="9"/>
            <rFont val="宋体"/>
            <charset val="134"/>
          </rPr>
          <t>DZHD01.陈剑:</t>
        </r>
        <r>
          <rPr>
            <sz val="9"/>
            <rFont val="宋体"/>
            <charset val="134"/>
          </rPr>
          <t xml:space="preserve">
</t>
        </r>
        <r>
          <rPr>
            <sz val="9"/>
            <rFont val="宋体"/>
            <charset val="134"/>
          </rPr>
          <t>算地下，故+1</t>
        </r>
      </text>
    </comment>
    <comment ref="F165" authorId="1">
      <text>
        <r>
          <rPr>
            <b/>
            <sz val="9"/>
            <rFont val="宋体"/>
            <charset val="134"/>
          </rPr>
          <t>DZHD01.陈剑:</t>
        </r>
        <r>
          <rPr>
            <sz val="9"/>
            <rFont val="宋体"/>
            <charset val="134"/>
          </rPr>
          <t xml:space="preserve">
</t>
        </r>
        <r>
          <rPr>
            <sz val="9"/>
            <rFont val="宋体"/>
            <charset val="134"/>
          </rPr>
          <t>算地下，故+1</t>
        </r>
      </text>
    </comment>
    <comment ref="F167" authorId="1">
      <text>
        <r>
          <rPr>
            <b/>
            <sz val="9"/>
            <rFont val="宋体"/>
            <charset val="134"/>
          </rPr>
          <t>DZHD01.陈剑:</t>
        </r>
        <r>
          <rPr>
            <sz val="9"/>
            <rFont val="宋体"/>
            <charset val="134"/>
          </rPr>
          <t xml:space="preserve">
</t>
        </r>
        <r>
          <rPr>
            <sz val="9"/>
            <rFont val="宋体"/>
            <charset val="134"/>
          </rPr>
          <t>去掉架空层，故-1</t>
        </r>
      </text>
    </comment>
    <comment ref="F168" authorId="1">
      <text>
        <r>
          <rPr>
            <b/>
            <sz val="9"/>
            <rFont val="宋体"/>
            <charset val="134"/>
          </rPr>
          <t>DZHD01.陈剑:</t>
        </r>
        <r>
          <rPr>
            <sz val="9"/>
            <rFont val="宋体"/>
            <charset val="134"/>
          </rPr>
          <t xml:space="preserve">
</t>
        </r>
        <r>
          <rPr>
            <sz val="9"/>
            <rFont val="宋体"/>
            <charset val="134"/>
          </rPr>
          <t>去掉架空层，故-1</t>
        </r>
      </text>
    </comment>
    <comment ref="F169" authorId="1">
      <text>
        <r>
          <rPr>
            <b/>
            <sz val="9"/>
            <rFont val="宋体"/>
            <charset val="134"/>
          </rPr>
          <t>DZHD01.陈剑:</t>
        </r>
        <r>
          <rPr>
            <sz val="9"/>
            <rFont val="宋体"/>
            <charset val="134"/>
          </rPr>
          <t xml:space="preserve">
</t>
        </r>
        <r>
          <rPr>
            <sz val="9"/>
            <rFont val="宋体"/>
            <charset val="134"/>
          </rPr>
          <t>去掉架空层，故-1</t>
        </r>
      </text>
    </comment>
  </commentList>
</comments>
</file>

<file path=xl/comments13.xml><?xml version="1.0" encoding="utf-8"?>
<comments xmlns="http://schemas.openxmlformats.org/spreadsheetml/2006/main">
  <authors>
    <author>DZHD01.陈剑</author>
  </authors>
  <commentList>
    <comment ref="J32" authorId="0">
      <text>
        <r>
          <rPr>
            <b/>
            <sz val="9"/>
            <rFont val="宋体"/>
            <charset val="134"/>
          </rPr>
          <t>DZHD01.陈剑:</t>
        </r>
        <r>
          <rPr>
            <sz val="9"/>
            <rFont val="宋体"/>
            <charset val="134"/>
          </rPr>
          <t xml:space="preserve">
</t>
        </r>
        <r>
          <rPr>
            <sz val="9"/>
            <rFont val="宋体"/>
            <charset val="134"/>
          </rPr>
          <t>直接引用元测算表数据</t>
        </r>
      </text>
    </comment>
    <comment ref="D55" authorId="0">
      <text>
        <r>
          <rPr>
            <b/>
            <sz val="9"/>
            <rFont val="宋体"/>
            <charset val="134"/>
          </rPr>
          <t>DZHD01.陈剑:</t>
        </r>
        <r>
          <rPr>
            <sz val="9"/>
            <rFont val="宋体"/>
            <charset val="134"/>
          </rPr>
          <t xml:space="preserve">
</t>
        </r>
        <r>
          <rPr>
            <sz val="9"/>
            <rFont val="宋体"/>
            <charset val="134"/>
          </rPr>
          <t>聚苯板原测算甲供，保温板分包，均单独合同，本次直接放入总包</t>
        </r>
      </text>
    </comment>
    <comment ref="J71" authorId="0">
      <text>
        <r>
          <rPr>
            <b/>
            <sz val="9"/>
            <rFont val="宋体"/>
            <charset val="134"/>
          </rPr>
          <t>DZHD01.陈剑:</t>
        </r>
        <r>
          <rPr>
            <sz val="9"/>
            <rFont val="宋体"/>
            <charset val="134"/>
          </rPr>
          <t xml:space="preserve">
</t>
        </r>
        <r>
          <rPr>
            <sz val="9"/>
            <rFont val="宋体"/>
            <charset val="134"/>
          </rPr>
          <t>水管走天花增加费，原测算单价为20.3，差额14元*48778放入精装</t>
        </r>
      </text>
    </comment>
  </commentList>
</comments>
</file>

<file path=xl/comments14.xml><?xml version="1.0" encoding="utf-8"?>
<comments xmlns="http://schemas.openxmlformats.org/spreadsheetml/2006/main">
  <authors>
    <author>DZHD01.陈剑</author>
  </authors>
  <commentList>
    <comment ref="J29" authorId="0">
      <text>
        <r>
          <rPr>
            <b/>
            <sz val="9"/>
            <rFont val="宋体"/>
            <charset val="134"/>
          </rPr>
          <t>DZHD01.陈剑:</t>
        </r>
        <r>
          <rPr>
            <sz val="9"/>
            <rFont val="宋体"/>
            <charset val="134"/>
          </rPr>
          <t xml:space="preserve">
</t>
        </r>
        <r>
          <rPr>
            <sz val="9"/>
            <rFont val="宋体"/>
            <charset val="134"/>
          </rPr>
          <t>直接引用元测算表数据</t>
        </r>
      </text>
    </comment>
    <comment ref="D52" authorId="0">
      <text>
        <r>
          <rPr>
            <b/>
            <sz val="9"/>
            <rFont val="宋体"/>
            <charset val="134"/>
          </rPr>
          <t>DZHD01.陈剑:</t>
        </r>
        <r>
          <rPr>
            <sz val="9"/>
            <rFont val="宋体"/>
            <charset val="134"/>
          </rPr>
          <t xml:space="preserve">
</t>
        </r>
        <r>
          <rPr>
            <sz val="9"/>
            <rFont val="宋体"/>
            <charset val="134"/>
          </rPr>
          <t>聚苯板原测算甲供，保温板分包，均单独合同，本次直接放入总包</t>
        </r>
      </text>
    </comment>
    <comment ref="J68" authorId="0">
      <text>
        <r>
          <rPr>
            <b/>
            <sz val="9"/>
            <rFont val="宋体"/>
            <charset val="134"/>
          </rPr>
          <t>DZHD01.陈剑:</t>
        </r>
        <r>
          <rPr>
            <sz val="9"/>
            <rFont val="宋体"/>
            <charset val="134"/>
          </rPr>
          <t xml:space="preserve">
</t>
        </r>
        <r>
          <rPr>
            <sz val="9"/>
            <rFont val="宋体"/>
            <charset val="134"/>
          </rPr>
          <t>水管走天花增加费，原测算单价为20.3，差额14元*48778放入精装</t>
        </r>
      </text>
    </comment>
    <comment ref="F132" authorId="0">
      <text>
        <r>
          <rPr>
            <b/>
            <sz val="9"/>
            <rFont val="宋体"/>
            <charset val="134"/>
          </rPr>
          <t>DZHD01.陈剑:</t>
        </r>
        <r>
          <rPr>
            <sz val="9"/>
            <rFont val="宋体"/>
            <charset val="134"/>
          </rPr>
          <t xml:space="preserve">
</t>
        </r>
        <r>
          <rPr>
            <sz val="9"/>
            <rFont val="宋体"/>
            <charset val="134"/>
          </rPr>
          <t>算地下，故+1</t>
        </r>
      </text>
    </comment>
    <comment ref="F140" authorId="0">
      <text>
        <r>
          <rPr>
            <b/>
            <sz val="9"/>
            <rFont val="宋体"/>
            <charset val="134"/>
          </rPr>
          <t>DZHD01.陈剑:</t>
        </r>
        <r>
          <rPr>
            <sz val="9"/>
            <rFont val="宋体"/>
            <charset val="134"/>
          </rPr>
          <t xml:space="preserve">
</t>
        </r>
        <r>
          <rPr>
            <sz val="9"/>
            <rFont val="宋体"/>
            <charset val="134"/>
          </rPr>
          <t>算地下，故+1</t>
        </r>
      </text>
    </comment>
    <comment ref="F164" authorId="0">
      <text>
        <r>
          <rPr>
            <b/>
            <sz val="9"/>
            <rFont val="宋体"/>
            <charset val="134"/>
          </rPr>
          <t>DZHD01.陈剑:</t>
        </r>
        <r>
          <rPr>
            <sz val="9"/>
            <rFont val="宋体"/>
            <charset val="134"/>
          </rPr>
          <t xml:space="preserve">
</t>
        </r>
        <r>
          <rPr>
            <sz val="9"/>
            <rFont val="宋体"/>
            <charset val="134"/>
          </rPr>
          <t>算地下，故+1</t>
        </r>
      </text>
    </comment>
    <comment ref="F166" authorId="0">
      <text>
        <r>
          <rPr>
            <b/>
            <sz val="9"/>
            <rFont val="宋体"/>
            <charset val="134"/>
          </rPr>
          <t>DZHD01.陈剑:</t>
        </r>
        <r>
          <rPr>
            <sz val="9"/>
            <rFont val="宋体"/>
            <charset val="134"/>
          </rPr>
          <t xml:space="preserve">
</t>
        </r>
        <r>
          <rPr>
            <sz val="9"/>
            <rFont val="宋体"/>
            <charset val="134"/>
          </rPr>
          <t>去掉架空层，故-1</t>
        </r>
      </text>
    </comment>
    <comment ref="F167" authorId="0">
      <text>
        <r>
          <rPr>
            <b/>
            <sz val="9"/>
            <rFont val="宋体"/>
            <charset val="134"/>
          </rPr>
          <t>DZHD01.陈剑:</t>
        </r>
        <r>
          <rPr>
            <sz val="9"/>
            <rFont val="宋体"/>
            <charset val="134"/>
          </rPr>
          <t xml:space="preserve">
</t>
        </r>
        <r>
          <rPr>
            <sz val="9"/>
            <rFont val="宋体"/>
            <charset val="134"/>
          </rPr>
          <t>去掉架空层，故-1</t>
        </r>
      </text>
    </comment>
    <comment ref="F168" authorId="0">
      <text>
        <r>
          <rPr>
            <b/>
            <sz val="9"/>
            <rFont val="宋体"/>
            <charset val="134"/>
          </rPr>
          <t>DZHD01.陈剑:</t>
        </r>
        <r>
          <rPr>
            <sz val="9"/>
            <rFont val="宋体"/>
            <charset val="134"/>
          </rPr>
          <t xml:space="preserve">
</t>
        </r>
        <r>
          <rPr>
            <sz val="9"/>
            <rFont val="宋体"/>
            <charset val="134"/>
          </rPr>
          <t>去掉架空层，故-1</t>
        </r>
      </text>
    </comment>
  </commentList>
</comments>
</file>

<file path=xl/comments15.xml><?xml version="1.0" encoding="utf-8"?>
<comments xmlns="http://schemas.openxmlformats.org/spreadsheetml/2006/main">
  <authors>
    <author>wuzhy</author>
  </authors>
  <commentList>
    <comment ref="B14" authorId="0">
      <text>
        <r>
          <rPr>
            <b/>
            <sz val="9"/>
            <rFont val="宋体"/>
            <charset val="134"/>
          </rPr>
          <t>wuzhy:</t>
        </r>
        <r>
          <rPr>
            <sz val="9"/>
            <rFont val="宋体"/>
            <charset val="134"/>
          </rPr>
          <t xml:space="preserve">
</t>
        </r>
        <r>
          <rPr>
            <sz val="9"/>
            <rFont val="宋体"/>
            <charset val="134"/>
          </rPr>
          <t>需增加外墙抹灰、烟道、卫生间做法、花池做法</t>
        </r>
      </text>
    </comment>
  </commentList>
</comments>
</file>

<file path=xl/comments16.xml><?xml version="1.0" encoding="utf-8"?>
<comments xmlns="http://schemas.openxmlformats.org/spreadsheetml/2006/main">
  <authors>
    <author>wuzhy</author>
  </authors>
  <commentList>
    <comment ref="B9" authorId="0">
      <text>
        <r>
          <rPr>
            <b/>
            <sz val="9"/>
            <rFont val="宋体"/>
            <charset val="134"/>
          </rPr>
          <t>wuzhy:</t>
        </r>
        <r>
          <rPr>
            <sz val="9"/>
            <rFont val="宋体"/>
            <charset val="134"/>
          </rPr>
          <t xml:space="preserve">
</t>
        </r>
        <r>
          <rPr>
            <sz val="9"/>
            <rFont val="宋体"/>
            <charset val="134"/>
          </rPr>
          <t>需增加外墙抹灰、烟道、卫生间做法、花池做法</t>
        </r>
      </text>
    </comment>
  </commentList>
</comments>
</file>

<file path=xl/comments17.xml><?xml version="1.0" encoding="utf-8"?>
<comments xmlns="http://schemas.openxmlformats.org/spreadsheetml/2006/main">
  <authors>
    <author>User</author>
  </authors>
  <commentList>
    <comment ref="G93" authorId="0">
      <text>
        <r>
          <rPr>
            <b/>
            <sz val="9"/>
            <rFont val="宋体"/>
            <charset val="134"/>
          </rPr>
          <t>User:</t>
        </r>
        <r>
          <rPr>
            <sz val="9"/>
            <rFont val="宋体"/>
            <charset val="134"/>
          </rPr>
          <t xml:space="preserve">
</t>
        </r>
        <r>
          <rPr>
            <sz val="9"/>
            <rFont val="宋体"/>
            <charset val="134"/>
          </rPr>
          <t>含地下室电梯厅</t>
        </r>
      </text>
    </comment>
    <comment ref="G112" authorId="0">
      <text>
        <r>
          <rPr>
            <b/>
            <sz val="9"/>
            <rFont val="宋体"/>
            <charset val="134"/>
          </rPr>
          <t>User:</t>
        </r>
        <r>
          <rPr>
            <sz val="9"/>
            <rFont val="宋体"/>
            <charset val="134"/>
          </rPr>
          <t xml:space="preserve">
</t>
        </r>
        <r>
          <rPr>
            <sz val="9"/>
            <rFont val="宋体"/>
            <charset val="134"/>
          </rPr>
          <t>含地下室电梯厅</t>
        </r>
      </text>
    </comment>
    <comment ref="G130" authorId="0">
      <text>
        <r>
          <rPr>
            <b/>
            <sz val="9"/>
            <rFont val="宋体"/>
            <charset val="134"/>
          </rPr>
          <t>User:</t>
        </r>
        <r>
          <rPr>
            <sz val="9"/>
            <rFont val="宋体"/>
            <charset val="134"/>
          </rPr>
          <t xml:space="preserve">
</t>
        </r>
        <r>
          <rPr>
            <sz val="9"/>
            <rFont val="宋体"/>
            <charset val="134"/>
          </rPr>
          <t>含地下室电梯厅</t>
        </r>
      </text>
    </comment>
    <comment ref="G131" authorId="0">
      <text>
        <r>
          <rPr>
            <b/>
            <sz val="9"/>
            <rFont val="宋体"/>
            <charset val="134"/>
          </rPr>
          <t>User:</t>
        </r>
        <r>
          <rPr>
            <sz val="9"/>
            <rFont val="宋体"/>
            <charset val="134"/>
          </rPr>
          <t xml:space="preserve">
</t>
        </r>
        <r>
          <rPr>
            <sz val="9"/>
            <rFont val="宋体"/>
            <charset val="134"/>
          </rPr>
          <t>含地下室电梯厅</t>
        </r>
      </text>
    </comment>
    <comment ref="G132" authorId="0">
      <text>
        <r>
          <rPr>
            <b/>
            <sz val="9"/>
            <rFont val="宋体"/>
            <charset val="134"/>
          </rPr>
          <t>User:</t>
        </r>
        <r>
          <rPr>
            <sz val="9"/>
            <rFont val="宋体"/>
            <charset val="134"/>
          </rPr>
          <t xml:space="preserve">
</t>
        </r>
        <r>
          <rPr>
            <sz val="9"/>
            <rFont val="宋体"/>
            <charset val="134"/>
          </rPr>
          <t>含地下室电梯厅</t>
        </r>
      </text>
    </comment>
    <comment ref="G133" authorId="0">
      <text>
        <r>
          <rPr>
            <b/>
            <sz val="9"/>
            <rFont val="宋体"/>
            <charset val="134"/>
          </rPr>
          <t>User:</t>
        </r>
        <r>
          <rPr>
            <sz val="9"/>
            <rFont val="宋体"/>
            <charset val="134"/>
          </rPr>
          <t xml:space="preserve">
</t>
        </r>
        <r>
          <rPr>
            <sz val="9"/>
            <rFont val="宋体"/>
            <charset val="134"/>
          </rPr>
          <t>含地下室电梯厅</t>
        </r>
      </text>
    </comment>
    <comment ref="G134" authorId="0">
      <text>
        <r>
          <rPr>
            <b/>
            <sz val="9"/>
            <rFont val="宋体"/>
            <charset val="134"/>
          </rPr>
          <t>User:</t>
        </r>
        <r>
          <rPr>
            <sz val="9"/>
            <rFont val="宋体"/>
            <charset val="134"/>
          </rPr>
          <t xml:space="preserve">
</t>
        </r>
        <r>
          <rPr>
            <sz val="9"/>
            <rFont val="宋体"/>
            <charset val="134"/>
          </rPr>
          <t>含地下室电梯厅</t>
        </r>
      </text>
    </comment>
    <comment ref="G135" authorId="0">
      <text>
        <r>
          <rPr>
            <b/>
            <sz val="9"/>
            <rFont val="宋体"/>
            <charset val="134"/>
          </rPr>
          <t>User:</t>
        </r>
        <r>
          <rPr>
            <sz val="9"/>
            <rFont val="宋体"/>
            <charset val="134"/>
          </rPr>
          <t xml:space="preserve">
</t>
        </r>
        <r>
          <rPr>
            <sz val="9"/>
            <rFont val="宋体"/>
            <charset val="134"/>
          </rPr>
          <t>含地下室电梯厅</t>
        </r>
      </text>
    </comment>
  </commentList>
</comments>
</file>

<file path=xl/comments18.xml><?xml version="1.0" encoding="utf-8"?>
<comments xmlns="http://schemas.openxmlformats.org/spreadsheetml/2006/main">
  <authors>
    <author>wuzhy</author>
  </authors>
  <commentList>
    <comment ref="B9" authorId="0">
      <text>
        <r>
          <rPr>
            <b/>
            <sz val="9"/>
            <rFont val="宋体"/>
            <charset val="134"/>
          </rPr>
          <t>wuzhy:</t>
        </r>
        <r>
          <rPr>
            <sz val="9"/>
            <rFont val="宋体"/>
            <charset val="134"/>
          </rPr>
          <t xml:space="preserve">
</t>
        </r>
        <r>
          <rPr>
            <sz val="9"/>
            <rFont val="宋体"/>
            <charset val="134"/>
          </rPr>
          <t>需增加外墙抹灰、烟道、卫生间做法、花池做法</t>
        </r>
      </text>
    </comment>
  </commentList>
</comments>
</file>

<file path=xl/comments19.xml><?xml version="1.0" encoding="utf-8"?>
<comments xmlns="http://schemas.openxmlformats.org/spreadsheetml/2006/main">
  <authors>
    <author>wuzhy</author>
  </authors>
  <commentList>
    <comment ref="B9" authorId="0">
      <text>
        <r>
          <rPr>
            <b/>
            <sz val="9"/>
            <rFont val="宋体"/>
            <charset val="134"/>
          </rPr>
          <t>wuzhy:</t>
        </r>
        <r>
          <rPr>
            <sz val="9"/>
            <rFont val="宋体"/>
            <charset val="134"/>
          </rPr>
          <t xml:space="preserve">
</t>
        </r>
        <r>
          <rPr>
            <sz val="9"/>
            <rFont val="宋体"/>
            <charset val="134"/>
          </rPr>
          <t>需增加外墙抹灰、烟道、卫生间做法、花池做法</t>
        </r>
      </text>
    </comment>
  </commentList>
</comments>
</file>

<file path=xl/comments2.xml><?xml version="1.0" encoding="utf-8"?>
<comments xmlns="http://schemas.openxmlformats.org/spreadsheetml/2006/main">
  <authors>
    <author>DWXJA04.孔瑜</author>
  </authors>
  <commentList>
    <comment ref="I4" authorId="0">
      <text>
        <r>
          <rPr>
            <b/>
            <sz val="9"/>
            <rFont val="宋体"/>
            <charset val="134"/>
          </rPr>
          <t>DWXJA04.孔瑜:</t>
        </r>
        <r>
          <rPr>
            <sz val="9"/>
            <rFont val="宋体"/>
            <charset val="134"/>
          </rPr>
          <t xml:space="preserve">
</t>
        </r>
        <r>
          <rPr>
            <sz val="9"/>
            <rFont val="宋体"/>
            <charset val="134"/>
          </rPr>
          <t>容积率提升补缴地价</t>
        </r>
      </text>
    </comment>
  </commentList>
</comments>
</file>

<file path=xl/comments20.xml><?xml version="1.0" encoding="utf-8"?>
<comments xmlns="http://schemas.openxmlformats.org/spreadsheetml/2006/main">
  <authors>
    <author>wuzhy</author>
  </authors>
  <commentList>
    <comment ref="B9" authorId="0">
      <text>
        <r>
          <rPr>
            <b/>
            <sz val="9"/>
            <rFont val="宋体"/>
            <charset val="134"/>
          </rPr>
          <t>wuzhy:</t>
        </r>
        <r>
          <rPr>
            <sz val="9"/>
            <rFont val="宋体"/>
            <charset val="134"/>
          </rPr>
          <t xml:space="preserve">
</t>
        </r>
        <r>
          <rPr>
            <sz val="9"/>
            <rFont val="宋体"/>
            <charset val="134"/>
          </rPr>
          <t>需增加外墙抹灰、烟道、卫生间做法、花池做法</t>
        </r>
      </text>
    </comment>
  </commentList>
</comments>
</file>

<file path=xl/comments21.xml><?xml version="1.0" encoding="utf-8"?>
<comments xmlns="http://schemas.openxmlformats.org/spreadsheetml/2006/main">
  <authors>
    <author>wuzhy</author>
  </authors>
  <commentList>
    <comment ref="B9" authorId="0">
      <text>
        <r>
          <rPr>
            <b/>
            <sz val="9"/>
            <rFont val="宋体"/>
            <charset val="134"/>
          </rPr>
          <t>wuzhy:</t>
        </r>
        <r>
          <rPr>
            <sz val="9"/>
            <rFont val="宋体"/>
            <charset val="134"/>
          </rPr>
          <t xml:space="preserve">
</t>
        </r>
        <r>
          <rPr>
            <sz val="9"/>
            <rFont val="宋体"/>
            <charset val="134"/>
          </rPr>
          <t>需增加外墙抹灰、烟道、卫生间做法、花池做法</t>
        </r>
      </text>
    </comment>
  </commentList>
</comments>
</file>

<file path=xl/comments22.xml><?xml version="1.0" encoding="utf-8"?>
<comments xmlns="http://schemas.openxmlformats.org/spreadsheetml/2006/main">
  <authors>
    <author>wuzhy</author>
  </authors>
  <commentList>
    <comment ref="B9" authorId="0">
      <text>
        <r>
          <rPr>
            <b/>
            <sz val="9"/>
            <rFont val="宋体"/>
            <charset val="134"/>
          </rPr>
          <t>wuzhy:</t>
        </r>
        <r>
          <rPr>
            <sz val="9"/>
            <rFont val="宋体"/>
            <charset val="134"/>
          </rPr>
          <t xml:space="preserve">
</t>
        </r>
        <r>
          <rPr>
            <sz val="9"/>
            <rFont val="宋体"/>
            <charset val="134"/>
          </rPr>
          <t>需增加外墙抹灰、烟道、卫生间做法、花池做法</t>
        </r>
      </text>
    </comment>
  </commentList>
</comments>
</file>

<file path=xl/comments23.xml><?xml version="1.0" encoding="utf-8"?>
<comments xmlns="http://schemas.openxmlformats.org/spreadsheetml/2006/main">
  <authors>
    <author>wuzhy</author>
  </authors>
  <commentList>
    <comment ref="B11" authorId="0">
      <text>
        <r>
          <rPr>
            <b/>
            <sz val="9"/>
            <rFont val="宋体"/>
            <charset val="134"/>
          </rPr>
          <t>wuzhy:</t>
        </r>
        <r>
          <rPr>
            <sz val="9"/>
            <rFont val="宋体"/>
            <charset val="134"/>
          </rPr>
          <t xml:space="preserve">
</t>
        </r>
        <r>
          <rPr>
            <sz val="9"/>
            <rFont val="宋体"/>
            <charset val="134"/>
          </rPr>
          <t>需增加外墙抹灰、烟道、卫生间做法、花池做法</t>
        </r>
      </text>
    </comment>
  </commentList>
</comments>
</file>

<file path=xl/comments24.xml><?xml version="1.0" encoding="utf-8"?>
<comments xmlns="http://schemas.openxmlformats.org/spreadsheetml/2006/main">
  <authors>
    <author>User</author>
  </authors>
  <commentList>
    <comment ref="G95" authorId="0">
      <text>
        <r>
          <rPr>
            <b/>
            <sz val="9"/>
            <rFont val="宋体"/>
            <charset val="134"/>
          </rPr>
          <t>User:</t>
        </r>
        <r>
          <rPr>
            <sz val="9"/>
            <rFont val="宋体"/>
            <charset val="134"/>
          </rPr>
          <t xml:space="preserve">
</t>
        </r>
        <r>
          <rPr>
            <sz val="9"/>
            <rFont val="宋体"/>
            <charset val="134"/>
          </rPr>
          <t>含地下室电梯厅</t>
        </r>
      </text>
    </comment>
    <comment ref="G115" authorId="0">
      <text>
        <r>
          <rPr>
            <b/>
            <sz val="9"/>
            <rFont val="宋体"/>
            <charset val="134"/>
          </rPr>
          <t>User:</t>
        </r>
        <r>
          <rPr>
            <sz val="9"/>
            <rFont val="宋体"/>
            <charset val="134"/>
          </rPr>
          <t xml:space="preserve">
</t>
        </r>
        <r>
          <rPr>
            <sz val="9"/>
            <rFont val="宋体"/>
            <charset val="134"/>
          </rPr>
          <t>含地下室电梯厅</t>
        </r>
      </text>
    </comment>
    <comment ref="G133" authorId="0">
      <text>
        <r>
          <rPr>
            <b/>
            <sz val="9"/>
            <rFont val="宋体"/>
            <charset val="134"/>
          </rPr>
          <t>User:</t>
        </r>
        <r>
          <rPr>
            <sz val="9"/>
            <rFont val="宋体"/>
            <charset val="134"/>
          </rPr>
          <t xml:space="preserve">
</t>
        </r>
        <r>
          <rPr>
            <sz val="9"/>
            <rFont val="宋体"/>
            <charset val="134"/>
          </rPr>
          <t>含地下室电梯厅</t>
        </r>
      </text>
    </comment>
    <comment ref="G134" authorId="0">
      <text>
        <r>
          <rPr>
            <b/>
            <sz val="9"/>
            <rFont val="宋体"/>
            <charset val="134"/>
          </rPr>
          <t>User:</t>
        </r>
        <r>
          <rPr>
            <sz val="9"/>
            <rFont val="宋体"/>
            <charset val="134"/>
          </rPr>
          <t xml:space="preserve">
</t>
        </r>
        <r>
          <rPr>
            <sz val="9"/>
            <rFont val="宋体"/>
            <charset val="134"/>
          </rPr>
          <t>含地下室电梯厅</t>
        </r>
      </text>
    </comment>
    <comment ref="G135" authorId="0">
      <text>
        <r>
          <rPr>
            <b/>
            <sz val="9"/>
            <rFont val="宋体"/>
            <charset val="134"/>
          </rPr>
          <t>User:</t>
        </r>
        <r>
          <rPr>
            <sz val="9"/>
            <rFont val="宋体"/>
            <charset val="134"/>
          </rPr>
          <t xml:space="preserve">
</t>
        </r>
        <r>
          <rPr>
            <sz val="9"/>
            <rFont val="宋体"/>
            <charset val="134"/>
          </rPr>
          <t>含地下室电梯厅</t>
        </r>
      </text>
    </comment>
    <comment ref="G136" authorId="0">
      <text>
        <r>
          <rPr>
            <b/>
            <sz val="9"/>
            <rFont val="宋体"/>
            <charset val="134"/>
          </rPr>
          <t>User:</t>
        </r>
        <r>
          <rPr>
            <sz val="9"/>
            <rFont val="宋体"/>
            <charset val="134"/>
          </rPr>
          <t xml:space="preserve">
</t>
        </r>
        <r>
          <rPr>
            <sz val="9"/>
            <rFont val="宋体"/>
            <charset val="134"/>
          </rPr>
          <t>含地下室电梯厅</t>
        </r>
      </text>
    </comment>
    <comment ref="G137" authorId="0">
      <text>
        <r>
          <rPr>
            <b/>
            <sz val="9"/>
            <rFont val="宋体"/>
            <charset val="134"/>
          </rPr>
          <t>User:</t>
        </r>
        <r>
          <rPr>
            <sz val="9"/>
            <rFont val="宋体"/>
            <charset val="134"/>
          </rPr>
          <t xml:space="preserve">
</t>
        </r>
        <r>
          <rPr>
            <sz val="9"/>
            <rFont val="宋体"/>
            <charset val="134"/>
          </rPr>
          <t>含地下室电梯厅</t>
        </r>
      </text>
    </comment>
    <comment ref="G138" authorId="0">
      <text>
        <r>
          <rPr>
            <b/>
            <sz val="9"/>
            <rFont val="宋体"/>
            <charset val="134"/>
          </rPr>
          <t>User:</t>
        </r>
        <r>
          <rPr>
            <sz val="9"/>
            <rFont val="宋体"/>
            <charset val="134"/>
          </rPr>
          <t xml:space="preserve">
</t>
        </r>
        <r>
          <rPr>
            <sz val="9"/>
            <rFont val="宋体"/>
            <charset val="134"/>
          </rPr>
          <t>含地下室电梯厅</t>
        </r>
      </text>
    </comment>
  </commentList>
</comments>
</file>

<file path=xl/comments25.xml><?xml version="1.0" encoding="utf-8"?>
<comments xmlns="http://schemas.openxmlformats.org/spreadsheetml/2006/main">
  <authors>
    <author>wuzhy</author>
  </authors>
  <commentList>
    <comment ref="B13" authorId="0">
      <text>
        <r>
          <rPr>
            <b/>
            <sz val="9"/>
            <rFont val="宋体"/>
            <charset val="134"/>
          </rPr>
          <t>wuzhy:</t>
        </r>
        <r>
          <rPr>
            <sz val="9"/>
            <rFont val="宋体"/>
            <charset val="134"/>
          </rPr>
          <t xml:space="preserve">
</t>
        </r>
        <r>
          <rPr>
            <sz val="9"/>
            <rFont val="宋体"/>
            <charset val="134"/>
          </rPr>
          <t>需增加外墙抹灰、烟道、卫生间做法、花池做法</t>
        </r>
      </text>
    </comment>
  </commentList>
</comments>
</file>

<file path=xl/comments26.xml><?xml version="1.0" encoding="utf-8"?>
<comments xmlns="http://schemas.openxmlformats.org/spreadsheetml/2006/main">
  <authors>
    <author>wuzhy</author>
  </authors>
  <commentList>
    <comment ref="B14" authorId="0">
      <text>
        <r>
          <rPr>
            <b/>
            <sz val="9"/>
            <rFont val="宋体"/>
            <charset val="134"/>
          </rPr>
          <t>wuzhy:</t>
        </r>
        <r>
          <rPr>
            <sz val="9"/>
            <rFont val="宋体"/>
            <charset val="134"/>
          </rPr>
          <t xml:space="preserve">
</t>
        </r>
        <r>
          <rPr>
            <sz val="9"/>
            <rFont val="宋体"/>
            <charset val="134"/>
          </rPr>
          <t>需增加外墙抹灰、烟道、卫生间做法、花池做法</t>
        </r>
      </text>
    </comment>
  </commentList>
</comments>
</file>

<file path=xl/comments27.xml><?xml version="1.0" encoding="utf-8"?>
<comments xmlns="http://schemas.openxmlformats.org/spreadsheetml/2006/main">
  <authors>
    <author>wuzhy</author>
  </authors>
  <commentList>
    <comment ref="B9" authorId="0">
      <text>
        <r>
          <rPr>
            <b/>
            <sz val="9"/>
            <rFont val="宋体"/>
            <charset val="134"/>
          </rPr>
          <t>wuzhy:</t>
        </r>
        <r>
          <rPr>
            <sz val="9"/>
            <rFont val="宋体"/>
            <charset val="134"/>
          </rPr>
          <t xml:space="preserve">
</t>
        </r>
        <r>
          <rPr>
            <sz val="9"/>
            <rFont val="宋体"/>
            <charset val="134"/>
          </rPr>
          <t>需增加外墙抹灰、烟道、卫生间做法、花池做法</t>
        </r>
      </text>
    </comment>
  </commentList>
</comments>
</file>

<file path=xl/comments28.xml><?xml version="1.0" encoding="utf-8"?>
<comments xmlns="http://schemas.openxmlformats.org/spreadsheetml/2006/main">
  <authors>
    <author>wuzhy</author>
  </authors>
  <commentList>
    <comment ref="B9" authorId="0">
      <text>
        <r>
          <rPr>
            <b/>
            <sz val="9"/>
            <rFont val="宋体"/>
            <charset val="134"/>
          </rPr>
          <t>wuzhy:</t>
        </r>
        <r>
          <rPr>
            <sz val="9"/>
            <rFont val="宋体"/>
            <charset val="134"/>
          </rPr>
          <t xml:space="preserve">
</t>
        </r>
        <r>
          <rPr>
            <sz val="9"/>
            <rFont val="宋体"/>
            <charset val="134"/>
          </rPr>
          <t>需增加外墙抹灰、烟道、卫生间做法、花池做法</t>
        </r>
      </text>
    </comment>
  </commentList>
</comments>
</file>

<file path=xl/comments29.xml><?xml version="1.0" encoding="utf-8"?>
<comments xmlns="http://schemas.openxmlformats.org/spreadsheetml/2006/main">
  <authors>
    <author>wuzhy</author>
  </authors>
  <commentList>
    <comment ref="B9" authorId="0">
      <text>
        <r>
          <rPr>
            <b/>
            <sz val="9"/>
            <rFont val="宋体"/>
            <charset val="134"/>
          </rPr>
          <t>wuzhy:</t>
        </r>
        <r>
          <rPr>
            <sz val="9"/>
            <rFont val="宋体"/>
            <charset val="134"/>
          </rPr>
          <t xml:space="preserve">
</t>
        </r>
        <r>
          <rPr>
            <sz val="9"/>
            <rFont val="宋体"/>
            <charset val="134"/>
          </rPr>
          <t>需增加外墙抹灰、烟道、卫生间做法、花池做法</t>
        </r>
      </text>
    </comment>
  </commentList>
</comments>
</file>

<file path=xl/comments3.xml><?xml version="1.0" encoding="utf-8"?>
<comments xmlns="http://schemas.openxmlformats.org/spreadsheetml/2006/main">
  <authors>
    <author>wyy</author>
  </authors>
  <commentList>
    <comment ref="A6" authorId="0">
      <text>
        <r>
          <rPr>
            <b/>
            <sz val="9"/>
            <rFont val="宋体"/>
            <charset val="134"/>
          </rPr>
          <t>wyy:</t>
        </r>
        <r>
          <rPr>
            <sz val="9"/>
            <rFont val="宋体"/>
            <charset val="134"/>
          </rPr>
          <t xml:space="preserve">
</t>
        </r>
        <r>
          <rPr>
            <sz val="9"/>
            <rFont val="宋体"/>
            <charset val="134"/>
          </rPr>
          <t>按3，4，3</t>
        </r>
      </text>
    </comment>
  </commentList>
</comments>
</file>

<file path=xl/comments4.xml><?xml version="1.0" encoding="utf-8"?>
<comments xmlns="http://schemas.openxmlformats.org/spreadsheetml/2006/main">
  <authors>
    <author>DGYD08.王刚</author>
    <author>DZHD01.陈剑</author>
    <author>DZHD02.黄贤玉</author>
    <author>DZSEA02.赵曦</author>
  </authors>
  <commentList>
    <comment ref="K71" authorId="0">
      <text>
        <r>
          <rPr>
            <b/>
            <sz val="9"/>
            <rFont val="宋体"/>
            <charset val="134"/>
          </rPr>
          <t>DGYD08.王刚:</t>
        </r>
        <r>
          <rPr>
            <sz val="9"/>
            <rFont val="宋体"/>
            <charset val="134"/>
          </rPr>
          <t xml:space="preserve">
</t>
        </r>
        <r>
          <rPr>
            <sz val="9"/>
            <rFont val="宋体"/>
            <charset val="134"/>
          </rPr>
          <t>配套单独测算，此处填写综合进项税率。即等于应缴税额/该项总成本（不含税）。</t>
        </r>
      </text>
    </comment>
    <comment ref="K72" authorId="0">
      <text>
        <r>
          <rPr>
            <b/>
            <sz val="9"/>
            <rFont val="宋体"/>
            <charset val="134"/>
          </rPr>
          <t>DGYD08.王刚:</t>
        </r>
        <r>
          <rPr>
            <sz val="9"/>
            <rFont val="宋体"/>
            <charset val="134"/>
          </rPr>
          <t xml:space="preserve">
</t>
        </r>
        <r>
          <rPr>
            <sz val="9"/>
            <rFont val="宋体"/>
            <charset val="134"/>
          </rPr>
          <t>配套单独测算，此处填写综合进项税率。即等于应缴税额/该项总成本（不含税）。</t>
        </r>
      </text>
    </comment>
    <comment ref="K75" authorId="0">
      <text>
        <r>
          <rPr>
            <b/>
            <sz val="9"/>
            <rFont val="宋体"/>
            <charset val="134"/>
          </rPr>
          <t>DGYD08.王刚:</t>
        </r>
        <r>
          <rPr>
            <sz val="9"/>
            <rFont val="宋体"/>
            <charset val="134"/>
          </rPr>
          <t xml:space="preserve">
</t>
        </r>
        <r>
          <rPr>
            <sz val="9"/>
            <rFont val="宋体"/>
            <charset val="134"/>
          </rPr>
          <t>配套单独测算，此处填写综合进项税率。即等于应缴税额/该项总成本（不含税）。</t>
        </r>
      </text>
    </comment>
    <comment ref="K79" authorId="0">
      <text>
        <r>
          <rPr>
            <b/>
            <sz val="9"/>
            <rFont val="宋体"/>
            <charset val="134"/>
          </rPr>
          <t>DGYD08.王刚:</t>
        </r>
        <r>
          <rPr>
            <sz val="9"/>
            <rFont val="宋体"/>
            <charset val="134"/>
          </rPr>
          <t xml:space="preserve">
</t>
        </r>
        <r>
          <rPr>
            <sz val="9"/>
            <rFont val="宋体"/>
            <charset val="134"/>
          </rPr>
          <t>配套单独测算，此处填写综合进项税率。即等于应缴税额/该项总成本（不含税）。</t>
        </r>
      </text>
    </comment>
    <comment ref="K80" authorId="0">
      <text>
        <r>
          <rPr>
            <b/>
            <sz val="9"/>
            <rFont val="宋体"/>
            <charset val="134"/>
          </rPr>
          <t>DGYD08.王刚:</t>
        </r>
        <r>
          <rPr>
            <sz val="9"/>
            <rFont val="宋体"/>
            <charset val="134"/>
          </rPr>
          <t xml:space="preserve">
</t>
        </r>
        <r>
          <rPr>
            <sz val="9"/>
            <rFont val="宋体"/>
            <charset val="134"/>
          </rPr>
          <t>配套单独测算，此处填写综合进项税率。即等于应缴税额/该项总成本（不含税）。</t>
        </r>
      </text>
    </comment>
    <comment ref="K83" authorId="0">
      <text>
        <r>
          <rPr>
            <b/>
            <sz val="9"/>
            <rFont val="宋体"/>
            <charset val="134"/>
          </rPr>
          <t>DGYD08.王刚:</t>
        </r>
        <r>
          <rPr>
            <sz val="9"/>
            <rFont val="宋体"/>
            <charset val="134"/>
          </rPr>
          <t xml:space="preserve">
</t>
        </r>
        <r>
          <rPr>
            <sz val="9"/>
            <rFont val="宋体"/>
            <charset val="134"/>
          </rPr>
          <t>车位在产品单独测算，此处填写返算的综合进项税率。</t>
        </r>
      </text>
    </comment>
    <comment ref="K84" authorId="0">
      <text>
        <r>
          <rPr>
            <b/>
            <sz val="9"/>
            <rFont val="宋体"/>
            <charset val="134"/>
          </rPr>
          <t>DGYD08.王刚:</t>
        </r>
        <r>
          <rPr>
            <sz val="9"/>
            <rFont val="宋体"/>
            <charset val="134"/>
          </rPr>
          <t xml:space="preserve">
</t>
        </r>
        <r>
          <rPr>
            <sz val="9"/>
            <rFont val="宋体"/>
            <charset val="134"/>
          </rPr>
          <t>车位在产品单独测算，此处填写返算的综合进项税率。</t>
        </r>
      </text>
    </comment>
    <comment ref="K85" authorId="0">
      <text>
        <r>
          <rPr>
            <b/>
            <sz val="9"/>
            <rFont val="宋体"/>
            <charset val="134"/>
          </rPr>
          <t>DGYD08.王刚:</t>
        </r>
        <r>
          <rPr>
            <sz val="9"/>
            <rFont val="宋体"/>
            <charset val="134"/>
          </rPr>
          <t xml:space="preserve">
</t>
        </r>
        <r>
          <rPr>
            <sz val="9"/>
            <rFont val="宋体"/>
            <charset val="134"/>
          </rPr>
          <t>车位在产品单独测算，此处填写返算的综合进项税率。</t>
        </r>
      </text>
    </comment>
    <comment ref="K86" authorId="0">
      <text>
        <r>
          <rPr>
            <b/>
            <sz val="9"/>
            <rFont val="宋体"/>
            <charset val="134"/>
          </rPr>
          <t>DGYD08.王刚:</t>
        </r>
        <r>
          <rPr>
            <sz val="9"/>
            <rFont val="宋体"/>
            <charset val="134"/>
          </rPr>
          <t xml:space="preserve">
</t>
        </r>
        <r>
          <rPr>
            <sz val="9"/>
            <rFont val="宋体"/>
            <charset val="134"/>
          </rPr>
          <t>车位在产品单独测算，此处填写返算的综合进项税率。</t>
        </r>
      </text>
    </comment>
    <comment ref="K87" authorId="0">
      <text>
        <r>
          <rPr>
            <b/>
            <sz val="9"/>
            <rFont val="宋体"/>
            <charset val="134"/>
          </rPr>
          <t>DGYD08.王刚:</t>
        </r>
        <r>
          <rPr>
            <sz val="9"/>
            <rFont val="宋体"/>
            <charset val="134"/>
          </rPr>
          <t xml:space="preserve">
</t>
        </r>
        <r>
          <rPr>
            <sz val="9"/>
            <rFont val="宋体"/>
            <charset val="134"/>
          </rPr>
          <t>车位在产品单独测算，此处填写返算的综合进项税率。</t>
        </r>
      </text>
    </comment>
    <comment ref="K88" authorId="0">
      <text>
        <r>
          <rPr>
            <b/>
            <sz val="9"/>
            <rFont val="宋体"/>
            <charset val="134"/>
          </rPr>
          <t>DGYD08.王刚:</t>
        </r>
        <r>
          <rPr>
            <sz val="9"/>
            <rFont val="宋体"/>
            <charset val="134"/>
          </rPr>
          <t xml:space="preserve">
</t>
        </r>
        <r>
          <rPr>
            <sz val="9"/>
            <rFont val="宋体"/>
            <charset val="134"/>
          </rPr>
          <t>车位在产品单独测算，此处填写返算的综合进项税率。</t>
        </r>
      </text>
    </comment>
    <comment ref="K89" authorId="0">
      <text>
        <r>
          <rPr>
            <b/>
            <sz val="9"/>
            <rFont val="宋体"/>
            <charset val="134"/>
          </rPr>
          <t>DGYD08.王刚:</t>
        </r>
        <r>
          <rPr>
            <sz val="9"/>
            <rFont val="宋体"/>
            <charset val="134"/>
          </rPr>
          <t xml:space="preserve">
</t>
        </r>
        <r>
          <rPr>
            <sz val="9"/>
            <rFont val="宋体"/>
            <charset val="134"/>
          </rPr>
          <t>车位在产品单独测算，此处填写返算的综合进项税率。</t>
        </r>
      </text>
    </comment>
    <comment ref="K90" authorId="0">
      <text>
        <r>
          <rPr>
            <b/>
            <sz val="9"/>
            <rFont val="宋体"/>
            <charset val="134"/>
          </rPr>
          <t>DGYD08.王刚:</t>
        </r>
        <r>
          <rPr>
            <sz val="9"/>
            <rFont val="宋体"/>
            <charset val="134"/>
          </rPr>
          <t xml:space="preserve">
</t>
        </r>
        <r>
          <rPr>
            <sz val="9"/>
            <rFont val="宋体"/>
            <charset val="134"/>
          </rPr>
          <t>车位在产品单独测算，此处填写返算的综合进项税率。</t>
        </r>
      </text>
    </comment>
    <comment ref="K91" authorId="0">
      <text>
        <r>
          <rPr>
            <b/>
            <sz val="9"/>
            <rFont val="宋体"/>
            <charset val="134"/>
          </rPr>
          <t>DGYD08.王刚:</t>
        </r>
        <r>
          <rPr>
            <sz val="9"/>
            <rFont val="宋体"/>
            <charset val="134"/>
          </rPr>
          <t xml:space="preserve">
</t>
        </r>
        <r>
          <rPr>
            <sz val="9"/>
            <rFont val="宋体"/>
            <charset val="134"/>
          </rPr>
          <t>车位在产品单独测算，此处填写返算的综合进项税率。</t>
        </r>
      </text>
    </comment>
    <comment ref="F94" authorId="1">
      <text>
        <r>
          <rPr>
            <b/>
            <sz val="9"/>
            <rFont val="宋体"/>
            <charset val="134"/>
          </rPr>
          <t>DZHD01.陈剑:</t>
        </r>
        <r>
          <rPr>
            <sz val="9"/>
            <rFont val="宋体"/>
            <charset val="134"/>
          </rPr>
          <t xml:space="preserve">
</t>
        </r>
        <r>
          <rPr>
            <sz val="9"/>
            <rFont val="宋体"/>
            <charset val="134"/>
          </rPr>
          <t>此项目中，地下室面积包括主楼地下部分；若地下与塔楼脱开，须增加塔楼基底面积</t>
        </r>
      </text>
    </comment>
    <comment ref="E100" authorId="0">
      <text>
        <r>
          <rPr>
            <b/>
            <sz val="9"/>
            <rFont val="宋体"/>
            <charset val="134"/>
          </rPr>
          <t>DGYD08.王刚:</t>
        </r>
        <r>
          <rPr>
            <sz val="9"/>
            <rFont val="宋体"/>
            <charset val="134"/>
          </rPr>
          <t xml:space="preserve">
</t>
        </r>
        <r>
          <rPr>
            <sz val="9"/>
            <rFont val="宋体"/>
            <charset val="134"/>
          </rPr>
          <t>若未包含在基坑施工合同或者其他情况需额外实施，则单独签订。</t>
        </r>
      </text>
    </comment>
    <comment ref="E111" authorId="0">
      <text>
        <r>
          <rPr>
            <b/>
            <sz val="9"/>
            <rFont val="宋体"/>
            <charset val="134"/>
          </rPr>
          <t>DGYD08.王刚:</t>
        </r>
        <r>
          <rPr>
            <sz val="9"/>
            <rFont val="宋体"/>
            <charset val="134"/>
          </rPr>
          <t xml:space="preserve">
</t>
        </r>
        <r>
          <rPr>
            <sz val="9"/>
            <rFont val="宋体"/>
            <charset val="134"/>
          </rPr>
          <t>若未包含在桩基施工合同中，则单独签订。</t>
        </r>
      </text>
    </comment>
    <comment ref="O175" authorId="2">
      <text>
        <r>
          <rPr>
            <b/>
            <sz val="9"/>
            <rFont val="宋体"/>
            <charset val="134"/>
          </rPr>
          <t>DZHD02.黄贤玉:</t>
        </r>
        <r>
          <rPr>
            <sz val="9"/>
            <rFont val="宋体"/>
            <charset val="134"/>
          </rPr>
          <t xml:space="preserve">
</t>
        </r>
        <r>
          <rPr>
            <sz val="9"/>
            <rFont val="宋体"/>
            <charset val="134"/>
          </rPr>
          <t>偏低</t>
        </r>
      </text>
    </comment>
    <comment ref="N192" authorId="1">
      <text>
        <r>
          <rPr>
            <b/>
            <sz val="9"/>
            <rFont val="宋体"/>
            <charset val="134"/>
          </rPr>
          <t>原测算漏算此部分金额</t>
        </r>
      </text>
    </comment>
    <comment ref="E239" authorId="0">
      <text>
        <r>
          <rPr>
            <b/>
            <sz val="9"/>
            <rFont val="宋体"/>
            <charset val="134"/>
          </rPr>
          <t>DGYD08.王刚:</t>
        </r>
        <r>
          <rPr>
            <sz val="9"/>
            <rFont val="宋体"/>
            <charset val="134"/>
          </rPr>
          <t xml:space="preserve">
</t>
        </r>
        <r>
          <rPr>
            <sz val="9"/>
            <rFont val="宋体"/>
            <charset val="134"/>
          </rPr>
          <t>施工类</t>
        </r>
      </text>
    </comment>
    <comment ref="E240" authorId="0">
      <text>
        <r>
          <rPr>
            <b/>
            <sz val="9"/>
            <rFont val="宋体"/>
            <charset val="134"/>
          </rPr>
          <t>DGYD08.王刚:</t>
        </r>
        <r>
          <rPr>
            <sz val="9"/>
            <rFont val="宋体"/>
            <charset val="134"/>
          </rPr>
          <t xml:space="preserve">
</t>
        </r>
        <r>
          <rPr>
            <sz val="9"/>
            <rFont val="宋体"/>
            <charset val="134"/>
          </rPr>
          <t>施工类</t>
        </r>
      </text>
    </comment>
    <comment ref="E246" authorId="0">
      <text>
        <r>
          <rPr>
            <b/>
            <sz val="9"/>
            <rFont val="宋体"/>
            <charset val="134"/>
          </rPr>
          <t>DGYD08.王刚:</t>
        </r>
        <r>
          <rPr>
            <sz val="9"/>
            <rFont val="宋体"/>
            <charset val="134"/>
          </rPr>
          <t xml:space="preserve">
</t>
        </r>
        <r>
          <rPr>
            <sz val="9"/>
            <rFont val="宋体"/>
            <charset val="134"/>
          </rPr>
          <t>施工类</t>
        </r>
      </text>
    </comment>
    <comment ref="E253" authorId="0">
      <text>
        <r>
          <rPr>
            <b/>
            <sz val="9"/>
            <rFont val="宋体"/>
            <charset val="134"/>
          </rPr>
          <t>DGYD08.王刚:</t>
        </r>
        <r>
          <rPr>
            <sz val="9"/>
            <rFont val="宋体"/>
            <charset val="134"/>
          </rPr>
          <t xml:space="preserve">
</t>
        </r>
        <r>
          <rPr>
            <sz val="9"/>
            <rFont val="宋体"/>
            <charset val="134"/>
          </rPr>
          <t>施工类</t>
        </r>
      </text>
    </comment>
    <comment ref="E256" authorId="0">
      <text>
        <r>
          <rPr>
            <b/>
            <sz val="9"/>
            <rFont val="宋体"/>
            <charset val="134"/>
          </rPr>
          <t>DGYD08.王刚:</t>
        </r>
        <r>
          <rPr>
            <sz val="9"/>
            <rFont val="宋体"/>
            <charset val="134"/>
          </rPr>
          <t xml:space="preserve">
</t>
        </r>
        <r>
          <rPr>
            <sz val="9"/>
            <rFont val="宋体"/>
            <charset val="134"/>
          </rPr>
          <t>施工类</t>
        </r>
      </text>
    </comment>
    <comment ref="L268" authorId="3">
      <text>
        <r>
          <rPr>
            <b/>
            <sz val="9"/>
            <rFont val="宋体"/>
            <charset val="134"/>
          </rPr>
          <t>应与现金流量表资本化利息相等</t>
        </r>
      </text>
    </comment>
  </commentList>
</comments>
</file>

<file path=xl/comments5.xml><?xml version="1.0" encoding="utf-8"?>
<comments xmlns="http://schemas.openxmlformats.org/spreadsheetml/2006/main">
  <authors>
    <author>DWHDA01.文亮</author>
    <author>DZHD01.陈剑</author>
  </authors>
  <commentList>
    <comment ref="B5" authorId="0">
      <text>
        <r>
          <rPr>
            <sz val="9"/>
            <rFont val="宋体"/>
            <charset val="134"/>
          </rPr>
          <t>含露天停车位面积</t>
        </r>
      </text>
    </comment>
    <comment ref="I5" authorId="1">
      <text>
        <r>
          <rPr>
            <b/>
            <sz val="9"/>
            <rFont val="宋体"/>
            <charset val="134"/>
          </rPr>
          <t>按材质区分，草皮为绿化、硬铺为此处所说面积</t>
        </r>
      </text>
    </comment>
    <comment ref="D7" authorId="0">
      <text>
        <r>
          <rPr>
            <sz val="9"/>
            <rFont val="宋体"/>
            <charset val="134"/>
          </rPr>
          <t>不含庭院占地面积</t>
        </r>
      </text>
    </comment>
    <comment ref="J7" authorId="0">
      <text>
        <r>
          <rPr>
            <sz val="9"/>
            <rFont val="宋体"/>
            <charset val="134"/>
          </rPr>
          <t>不含室外泳池占地面积</t>
        </r>
      </text>
    </comment>
    <comment ref="C11" authorId="1">
      <text>
        <r>
          <rPr>
            <b/>
            <sz val="9"/>
            <rFont val="宋体"/>
            <charset val="134"/>
          </rPr>
          <t>（绿地率所指的"居住区用地范围内各类绿地占地面积"主要包括公共绿地、宅旁绿地等。其中，公共绿地，又包括居住区公园、小游园、组团绿地及其他的一些块状、带状化公共绿地。）（绿地率跟绿化率不是同一概念，绿化率亦为绿化覆盖率，即绿化垂直投影面积之和与小区用地面积的比率，比如一棵树的影子很大，但它的占地面积是很小的</t>
        </r>
      </text>
    </comment>
    <comment ref="C49" authorId="0">
      <text>
        <r>
          <rPr>
            <sz val="9"/>
            <rFont val="宋体"/>
            <charset val="134"/>
          </rPr>
          <t>全项目的持有物业配套停车</t>
        </r>
        <r>
          <rPr>
            <sz val="9"/>
            <rFont val="Tahoma"/>
            <charset val="134"/>
          </rPr>
          <t xml:space="preserve">
</t>
        </r>
      </text>
    </comment>
  </commentList>
</comments>
</file>

<file path=xl/comments6.xml><?xml version="1.0" encoding="utf-8"?>
<comments xmlns="http://schemas.openxmlformats.org/spreadsheetml/2006/main">
  <authors>
    <author>DKMCA01.刘燚</author>
  </authors>
  <commentList>
    <comment ref="N6" authorId="0">
      <text>
        <r>
          <rPr>
            <b/>
            <sz val="9"/>
            <rFont val="宋体"/>
            <charset val="134"/>
          </rPr>
          <t xml:space="preserve">note：
</t>
        </r>
        <r>
          <rPr>
            <b/>
            <sz val="9"/>
            <rFont val="宋体"/>
            <charset val="134"/>
          </rPr>
          <t>指土地成交价格</t>
        </r>
        <r>
          <rPr>
            <sz val="9"/>
            <rFont val="宋体"/>
            <charset val="134"/>
          </rPr>
          <t xml:space="preserve">
</t>
        </r>
      </text>
    </comment>
  </commentList>
</comments>
</file>

<file path=xl/comments7.xml><?xml version="1.0" encoding="utf-8"?>
<comments xmlns="http://schemas.openxmlformats.org/spreadsheetml/2006/main">
  <authors>
    <author>DGYD08.王刚</author>
  </authors>
  <commentList>
    <comment ref="G2" authorId="0">
      <text>
        <r>
          <rPr>
            <b/>
            <sz val="9"/>
            <rFont val="宋体"/>
            <charset val="134"/>
          </rPr>
          <t>DGYD08.王刚:</t>
        </r>
        <r>
          <rPr>
            <sz val="9"/>
            <rFont val="宋体"/>
            <charset val="134"/>
          </rPr>
          <t xml:space="preserve">
</t>
        </r>
        <r>
          <rPr>
            <sz val="9"/>
            <rFont val="宋体"/>
            <charset val="134"/>
          </rPr>
          <t>保证序号列为自然数列，然后复制F列，进行降序排列。</t>
        </r>
      </text>
    </comment>
  </commentList>
</comments>
</file>

<file path=xl/comments8.xml><?xml version="1.0" encoding="utf-8"?>
<comments xmlns="http://schemas.openxmlformats.org/spreadsheetml/2006/main">
  <authors>
    <author>DGYD08.王刚</author>
  </authors>
  <commentList>
    <comment ref="D10" authorId="0">
      <text>
        <r>
          <rPr>
            <b/>
            <sz val="9"/>
            <rFont val="宋体"/>
            <charset val="134"/>
          </rPr>
          <t>DGYD08.王刚:</t>
        </r>
        <r>
          <rPr>
            <sz val="9"/>
            <rFont val="宋体"/>
            <charset val="134"/>
          </rPr>
          <t xml:space="preserve">
</t>
        </r>
        <r>
          <rPr>
            <sz val="9"/>
            <rFont val="宋体"/>
            <charset val="134"/>
          </rPr>
          <t>地价来源财务需提供计算依据，并向成本进行交底。</t>
        </r>
      </text>
    </comment>
    <comment ref="K13" authorId="0">
      <text>
        <r>
          <rPr>
            <b/>
            <sz val="9"/>
            <rFont val="宋体"/>
            <charset val="134"/>
          </rPr>
          <t>DGYD08.王刚:</t>
        </r>
        <r>
          <rPr>
            <sz val="9"/>
            <rFont val="宋体"/>
            <charset val="134"/>
          </rPr>
          <t xml:space="preserve">
</t>
        </r>
        <r>
          <rPr>
            <sz val="9"/>
            <rFont val="宋体"/>
            <charset val="134"/>
          </rPr>
          <t>若为返迁房等，则进项税率为综合税率，即等于应缴税额/该项总成本（不含税）。</t>
        </r>
      </text>
    </comment>
    <comment ref="D20" authorId="0">
      <text>
        <r>
          <rPr>
            <b/>
            <sz val="9"/>
            <rFont val="宋体"/>
            <charset val="134"/>
          </rPr>
          <t>DGYD08.王刚:</t>
        </r>
        <r>
          <rPr>
            <sz val="9"/>
            <rFont val="宋体"/>
            <charset val="134"/>
          </rPr>
          <t xml:space="preserve">
</t>
        </r>
        <r>
          <rPr>
            <sz val="9"/>
            <rFont val="宋体"/>
            <charset val="134"/>
          </rPr>
          <t>土地溢价财务需提供计算依据，并向成本进行交底。</t>
        </r>
      </text>
    </comment>
    <comment ref="K50" authorId="0">
      <text>
        <r>
          <rPr>
            <b/>
            <sz val="9"/>
            <rFont val="宋体"/>
            <charset val="134"/>
          </rPr>
          <t>DGYD08.王刚:</t>
        </r>
        <r>
          <rPr>
            <sz val="9"/>
            <rFont val="宋体"/>
            <charset val="134"/>
          </rPr>
          <t xml:space="preserve">
</t>
        </r>
        <r>
          <rPr>
            <sz val="9"/>
            <rFont val="宋体"/>
            <charset val="134"/>
          </rPr>
          <t>配套单独测算，此处填写综合进项税率。即等于应缴税额/该项总成本（不含税）。</t>
        </r>
      </text>
    </comment>
    <comment ref="K51" authorId="0">
      <text>
        <r>
          <rPr>
            <b/>
            <sz val="9"/>
            <rFont val="宋体"/>
            <charset val="134"/>
          </rPr>
          <t>DGYD08.王刚:</t>
        </r>
        <r>
          <rPr>
            <sz val="9"/>
            <rFont val="宋体"/>
            <charset val="134"/>
          </rPr>
          <t xml:space="preserve">
</t>
        </r>
        <r>
          <rPr>
            <sz val="9"/>
            <rFont val="宋体"/>
            <charset val="134"/>
          </rPr>
          <t>配套单独测算，此处填写综合进项税率。即等于应缴税额/该项总成本（不含税）。</t>
        </r>
      </text>
    </comment>
    <comment ref="K52" authorId="0">
      <text>
        <r>
          <rPr>
            <b/>
            <sz val="9"/>
            <rFont val="宋体"/>
            <charset val="134"/>
          </rPr>
          <t>DGYD08.王刚:</t>
        </r>
        <r>
          <rPr>
            <sz val="9"/>
            <rFont val="宋体"/>
            <charset val="134"/>
          </rPr>
          <t xml:space="preserve">
</t>
        </r>
        <r>
          <rPr>
            <sz val="9"/>
            <rFont val="宋体"/>
            <charset val="134"/>
          </rPr>
          <t>配套单独测算，此处填写综合进项税率。即等于应缴税额/该项总成本（不含税）。</t>
        </r>
      </text>
    </comment>
    <comment ref="K53" authorId="0">
      <text>
        <r>
          <rPr>
            <b/>
            <sz val="9"/>
            <rFont val="宋体"/>
            <charset val="134"/>
          </rPr>
          <t>DGYD08.王刚:</t>
        </r>
        <r>
          <rPr>
            <sz val="9"/>
            <rFont val="宋体"/>
            <charset val="134"/>
          </rPr>
          <t xml:space="preserve">
</t>
        </r>
        <r>
          <rPr>
            <sz val="9"/>
            <rFont val="宋体"/>
            <charset val="134"/>
          </rPr>
          <t>配套单独测算，此处填写综合进项税率。即等于应缴税额/该项总成本（不含税）。</t>
        </r>
      </text>
    </comment>
    <comment ref="K55" authorId="0">
      <text>
        <r>
          <rPr>
            <b/>
            <sz val="9"/>
            <rFont val="宋体"/>
            <charset val="134"/>
          </rPr>
          <t>DGYD08.王刚:</t>
        </r>
        <r>
          <rPr>
            <sz val="9"/>
            <rFont val="宋体"/>
            <charset val="134"/>
          </rPr>
          <t xml:space="preserve">
</t>
        </r>
        <r>
          <rPr>
            <sz val="9"/>
            <rFont val="宋体"/>
            <charset val="134"/>
          </rPr>
          <t>配套单独测算，此处填写综合进项税率。即等于应缴税额/该项总成本（不含税）。</t>
        </r>
      </text>
    </comment>
    <comment ref="K56" authorId="0">
      <text>
        <r>
          <rPr>
            <b/>
            <sz val="9"/>
            <rFont val="宋体"/>
            <charset val="134"/>
          </rPr>
          <t>DGYD08.王刚:</t>
        </r>
        <r>
          <rPr>
            <sz val="9"/>
            <rFont val="宋体"/>
            <charset val="134"/>
          </rPr>
          <t xml:space="preserve">
</t>
        </r>
        <r>
          <rPr>
            <sz val="9"/>
            <rFont val="宋体"/>
            <charset val="134"/>
          </rPr>
          <t>配套单独测算，此处填写综合进项税率。即等于应缴税额/该项总成本（不含税）。</t>
        </r>
      </text>
    </comment>
    <comment ref="K57" authorId="0">
      <text>
        <r>
          <rPr>
            <b/>
            <sz val="9"/>
            <rFont val="宋体"/>
            <charset val="134"/>
          </rPr>
          <t>DGYD08.王刚:</t>
        </r>
        <r>
          <rPr>
            <sz val="9"/>
            <rFont val="宋体"/>
            <charset val="134"/>
          </rPr>
          <t xml:space="preserve">
</t>
        </r>
        <r>
          <rPr>
            <sz val="9"/>
            <rFont val="宋体"/>
            <charset val="134"/>
          </rPr>
          <t>配套单独测算，此处填写综合进项税率。即等于应缴税额/该项总成本（不含税）。</t>
        </r>
      </text>
    </comment>
    <comment ref="K58" authorId="0">
      <text>
        <r>
          <rPr>
            <b/>
            <sz val="9"/>
            <rFont val="宋体"/>
            <charset val="134"/>
          </rPr>
          <t>DGYD08.王刚:</t>
        </r>
        <r>
          <rPr>
            <sz val="9"/>
            <rFont val="宋体"/>
            <charset val="134"/>
          </rPr>
          <t xml:space="preserve">
</t>
        </r>
        <r>
          <rPr>
            <sz val="9"/>
            <rFont val="宋体"/>
            <charset val="134"/>
          </rPr>
          <t>配套单独测算，此处填写综合进项税率。即等于应缴税额/该项总成本（不含税）。</t>
        </r>
      </text>
    </comment>
    <comment ref="K59" authorId="0">
      <text>
        <r>
          <rPr>
            <b/>
            <sz val="9"/>
            <rFont val="宋体"/>
            <charset val="134"/>
          </rPr>
          <t>DGYD08.王刚:</t>
        </r>
        <r>
          <rPr>
            <sz val="9"/>
            <rFont val="宋体"/>
            <charset val="134"/>
          </rPr>
          <t xml:space="preserve">
</t>
        </r>
        <r>
          <rPr>
            <sz val="9"/>
            <rFont val="宋体"/>
            <charset val="134"/>
          </rPr>
          <t>配套单独测算，此处填写综合进项税率。即等于应缴税额/该项总成本（不含税）。</t>
        </r>
      </text>
    </comment>
    <comment ref="K60" authorId="0">
      <text>
        <r>
          <rPr>
            <b/>
            <sz val="9"/>
            <rFont val="宋体"/>
            <charset val="134"/>
          </rPr>
          <t>DGYD08.王刚:</t>
        </r>
        <r>
          <rPr>
            <sz val="9"/>
            <rFont val="宋体"/>
            <charset val="134"/>
          </rPr>
          <t xml:space="preserve">
</t>
        </r>
        <r>
          <rPr>
            <sz val="9"/>
            <rFont val="宋体"/>
            <charset val="134"/>
          </rPr>
          <t>配套单独测算，此处填写综合进项税率。即等于应缴税额/该项总成本（不含税）。</t>
        </r>
      </text>
    </comment>
    <comment ref="K63" authorId="0">
      <text>
        <r>
          <rPr>
            <b/>
            <sz val="9"/>
            <rFont val="宋体"/>
            <charset val="134"/>
          </rPr>
          <t>DGYD08.王刚:</t>
        </r>
        <r>
          <rPr>
            <sz val="9"/>
            <rFont val="宋体"/>
            <charset val="134"/>
          </rPr>
          <t xml:space="preserve">
</t>
        </r>
        <r>
          <rPr>
            <sz val="9"/>
            <rFont val="宋体"/>
            <charset val="134"/>
          </rPr>
          <t>车位在产品单独测算，此处填写返算的综合进项税率。</t>
        </r>
      </text>
    </comment>
    <comment ref="K64" authorId="0">
      <text>
        <r>
          <rPr>
            <b/>
            <sz val="9"/>
            <rFont val="宋体"/>
            <charset val="134"/>
          </rPr>
          <t>DGYD08.王刚:</t>
        </r>
        <r>
          <rPr>
            <sz val="9"/>
            <rFont val="宋体"/>
            <charset val="134"/>
          </rPr>
          <t xml:space="preserve">
</t>
        </r>
        <r>
          <rPr>
            <sz val="9"/>
            <rFont val="宋体"/>
            <charset val="134"/>
          </rPr>
          <t>车位在产品单独测算，此处填写返算的综合进项税率。</t>
        </r>
      </text>
    </comment>
    <comment ref="K69" authorId="0">
      <text>
        <r>
          <rPr>
            <b/>
            <sz val="9"/>
            <rFont val="宋体"/>
            <charset val="134"/>
          </rPr>
          <t>DGYD08.王刚:</t>
        </r>
        <r>
          <rPr>
            <sz val="9"/>
            <rFont val="宋体"/>
            <charset val="134"/>
          </rPr>
          <t xml:space="preserve">
</t>
        </r>
        <r>
          <rPr>
            <sz val="9"/>
            <rFont val="宋体"/>
            <charset val="134"/>
          </rPr>
          <t>车位在产品单独测算，此处填写返算的综合进项税率。</t>
        </r>
      </text>
    </comment>
    <comment ref="K70" authorId="0">
      <text>
        <r>
          <rPr>
            <b/>
            <sz val="9"/>
            <rFont val="宋体"/>
            <charset val="134"/>
          </rPr>
          <t>DGYD08.王刚:</t>
        </r>
        <r>
          <rPr>
            <sz val="9"/>
            <rFont val="宋体"/>
            <charset val="134"/>
          </rPr>
          <t xml:space="preserve">
</t>
        </r>
        <r>
          <rPr>
            <sz val="9"/>
            <rFont val="宋体"/>
            <charset val="134"/>
          </rPr>
          <t>车位在产品单独测算，此处填写返算的综合进项税率。</t>
        </r>
      </text>
    </comment>
    <comment ref="D193" authorId="0">
      <text>
        <r>
          <rPr>
            <b/>
            <sz val="9"/>
            <rFont val="宋体"/>
            <charset val="134"/>
          </rPr>
          <t>DGYD08.王刚:</t>
        </r>
        <r>
          <rPr>
            <sz val="9"/>
            <rFont val="宋体"/>
            <charset val="134"/>
          </rPr>
          <t xml:space="preserve">
</t>
        </r>
        <r>
          <rPr>
            <sz val="9"/>
            <rFont val="宋体"/>
            <charset val="134"/>
          </rPr>
          <t>行政管理费来源财务需提供计算依据，并向成本进行交底。</t>
        </r>
      </text>
    </comment>
    <comment ref="E232" authorId="0">
      <text>
        <r>
          <rPr>
            <b/>
            <sz val="9"/>
            <rFont val="宋体"/>
            <charset val="134"/>
          </rPr>
          <t>DGYD08.王刚:</t>
        </r>
        <r>
          <rPr>
            <sz val="9"/>
            <rFont val="宋体"/>
            <charset val="134"/>
          </rPr>
          <t xml:space="preserve">
</t>
        </r>
        <r>
          <rPr>
            <sz val="9"/>
            <rFont val="宋体"/>
            <charset val="134"/>
          </rPr>
          <t>复审合同若无基本费，不拆入此合同包，则应归入相应审减合同；若含有基本费，则基本费拆入此合同包，审减费归入相应审减合同。大致原则参照上述，过程操作可视情况灵活调整。</t>
        </r>
      </text>
    </comment>
    <comment ref="D241" authorId="0">
      <text>
        <r>
          <rPr>
            <b/>
            <sz val="9"/>
            <rFont val="宋体"/>
            <charset val="134"/>
          </rPr>
          <t>DGYD08.王刚:</t>
        </r>
        <r>
          <rPr>
            <sz val="9"/>
            <rFont val="宋体"/>
            <charset val="134"/>
          </rPr>
          <t xml:space="preserve">
</t>
        </r>
        <r>
          <rPr>
            <sz val="9"/>
            <rFont val="宋体"/>
            <charset val="134"/>
          </rPr>
          <t>资本化利息来源财务需提供计算依据，并向成本进行交底。</t>
        </r>
      </text>
    </comment>
  </commentList>
</comments>
</file>

<file path=xl/comments9.xml><?xml version="1.0" encoding="utf-8"?>
<comments xmlns="http://schemas.openxmlformats.org/spreadsheetml/2006/main">
  <authors>
    <author>DZHD01.陈剑</author>
  </authors>
  <commentList>
    <comment ref="J29" authorId="0">
      <text>
        <r>
          <rPr>
            <b/>
            <sz val="9"/>
            <rFont val="宋体"/>
            <charset val="134"/>
          </rPr>
          <t>DZHD01.陈剑:</t>
        </r>
        <r>
          <rPr>
            <sz val="9"/>
            <rFont val="宋体"/>
            <charset val="134"/>
          </rPr>
          <t xml:space="preserve">
</t>
        </r>
        <r>
          <rPr>
            <sz val="9"/>
            <rFont val="宋体"/>
            <charset val="134"/>
          </rPr>
          <t>直接引用元测算表数据</t>
        </r>
      </text>
    </comment>
    <comment ref="D54" authorId="0">
      <text>
        <r>
          <rPr>
            <b/>
            <sz val="9"/>
            <rFont val="宋体"/>
            <charset val="134"/>
          </rPr>
          <t>DZHD01.陈剑:</t>
        </r>
        <r>
          <rPr>
            <sz val="9"/>
            <rFont val="宋体"/>
            <charset val="134"/>
          </rPr>
          <t xml:space="preserve">
</t>
        </r>
        <r>
          <rPr>
            <sz val="9"/>
            <rFont val="宋体"/>
            <charset val="134"/>
          </rPr>
          <t>聚苯板原测算甲供，保温板分包，均单独合同，本次直接放入总包</t>
        </r>
      </text>
    </comment>
    <comment ref="F137" authorId="0">
      <text>
        <r>
          <rPr>
            <b/>
            <sz val="9"/>
            <rFont val="宋体"/>
            <charset val="134"/>
          </rPr>
          <t>DZHD01.陈剑:</t>
        </r>
        <r>
          <rPr>
            <sz val="9"/>
            <rFont val="宋体"/>
            <charset val="134"/>
          </rPr>
          <t xml:space="preserve">
</t>
        </r>
        <r>
          <rPr>
            <sz val="9"/>
            <rFont val="宋体"/>
            <charset val="134"/>
          </rPr>
          <t>算地下，故+1</t>
        </r>
      </text>
    </comment>
    <comment ref="F145" authorId="0">
      <text>
        <r>
          <rPr>
            <b/>
            <sz val="9"/>
            <rFont val="宋体"/>
            <charset val="134"/>
          </rPr>
          <t>DZHD01.陈剑:</t>
        </r>
        <r>
          <rPr>
            <sz val="9"/>
            <rFont val="宋体"/>
            <charset val="134"/>
          </rPr>
          <t xml:space="preserve">
</t>
        </r>
        <r>
          <rPr>
            <sz val="9"/>
            <rFont val="宋体"/>
            <charset val="134"/>
          </rPr>
          <t>算地下，故+1</t>
        </r>
      </text>
    </comment>
    <comment ref="F170" authorId="0">
      <text>
        <r>
          <rPr>
            <b/>
            <sz val="9"/>
            <rFont val="宋体"/>
            <charset val="134"/>
          </rPr>
          <t>DZHD01.陈剑:</t>
        </r>
        <r>
          <rPr>
            <sz val="9"/>
            <rFont val="宋体"/>
            <charset val="134"/>
          </rPr>
          <t xml:space="preserve">
</t>
        </r>
        <r>
          <rPr>
            <sz val="9"/>
            <rFont val="宋体"/>
            <charset val="134"/>
          </rPr>
          <t>算地下，故+1</t>
        </r>
      </text>
    </comment>
    <comment ref="F172" authorId="0">
      <text>
        <r>
          <rPr>
            <b/>
            <sz val="9"/>
            <rFont val="宋体"/>
            <charset val="134"/>
          </rPr>
          <t>DZHD01.陈剑:</t>
        </r>
        <r>
          <rPr>
            <sz val="9"/>
            <rFont val="宋体"/>
            <charset val="134"/>
          </rPr>
          <t xml:space="preserve">
</t>
        </r>
        <r>
          <rPr>
            <sz val="9"/>
            <rFont val="宋体"/>
            <charset val="134"/>
          </rPr>
          <t>去掉架空层，故-1</t>
        </r>
      </text>
    </comment>
    <comment ref="F173" authorId="0">
      <text>
        <r>
          <rPr>
            <b/>
            <sz val="9"/>
            <rFont val="宋体"/>
            <charset val="134"/>
          </rPr>
          <t>DZHD01.陈剑:</t>
        </r>
        <r>
          <rPr>
            <sz val="9"/>
            <rFont val="宋体"/>
            <charset val="134"/>
          </rPr>
          <t xml:space="preserve">
</t>
        </r>
        <r>
          <rPr>
            <sz val="9"/>
            <rFont val="宋体"/>
            <charset val="134"/>
          </rPr>
          <t>去掉架空层，故-1</t>
        </r>
      </text>
    </comment>
    <comment ref="F174" authorId="0">
      <text>
        <r>
          <rPr>
            <b/>
            <sz val="9"/>
            <rFont val="宋体"/>
            <charset val="134"/>
          </rPr>
          <t>DZHD01.陈剑:</t>
        </r>
        <r>
          <rPr>
            <sz val="9"/>
            <rFont val="宋体"/>
            <charset val="134"/>
          </rPr>
          <t xml:space="preserve">
</t>
        </r>
        <r>
          <rPr>
            <sz val="9"/>
            <rFont val="宋体"/>
            <charset val="134"/>
          </rPr>
          <t>去掉架空层，故-1</t>
        </r>
      </text>
    </comment>
  </commentList>
</comments>
</file>

<file path=xl/sharedStrings.xml><?xml version="1.0" encoding="utf-8"?>
<sst xmlns="http://schemas.openxmlformats.org/spreadsheetml/2006/main" count="2538">
  <si>
    <r>
      <rPr>
        <b/>
        <sz val="24"/>
        <rFont val="宋体"/>
        <charset val="134"/>
      </rPr>
      <t>增</t>
    </r>
    <r>
      <rPr>
        <b/>
        <sz val="24"/>
        <rFont val="Times New Roman"/>
        <charset val="134"/>
      </rPr>
      <t xml:space="preserve">  </t>
    </r>
    <r>
      <rPr>
        <b/>
        <sz val="24"/>
        <rFont val="宋体"/>
        <charset val="134"/>
      </rPr>
      <t>值</t>
    </r>
    <r>
      <rPr>
        <b/>
        <sz val="24"/>
        <rFont val="Times New Roman"/>
        <charset val="134"/>
      </rPr>
      <t xml:space="preserve">  </t>
    </r>
    <r>
      <rPr>
        <b/>
        <sz val="24"/>
        <rFont val="宋体"/>
        <charset val="134"/>
      </rPr>
      <t>税</t>
    </r>
  </si>
  <si>
    <r>
      <rPr>
        <b/>
        <sz val="10"/>
        <rFont val="宋体"/>
        <charset val="134"/>
      </rPr>
      <t>项</t>
    </r>
    <r>
      <rPr>
        <b/>
        <sz val="10"/>
        <rFont val="Times New Roman"/>
        <charset val="134"/>
      </rPr>
      <t xml:space="preserve">  </t>
    </r>
    <r>
      <rPr>
        <b/>
        <sz val="10"/>
        <rFont val="宋体"/>
        <charset val="134"/>
      </rPr>
      <t>目</t>
    </r>
  </si>
  <si>
    <t>合计</t>
  </si>
  <si>
    <t>年度</t>
  </si>
  <si>
    <t>2008年</t>
  </si>
  <si>
    <t>2009年</t>
  </si>
  <si>
    <t>2010年</t>
  </si>
  <si>
    <t>2011年</t>
  </si>
  <si>
    <t>2012年</t>
  </si>
  <si>
    <t>营业收入</t>
  </si>
  <si>
    <t>土地建安八大类</t>
  </si>
  <si>
    <t>期间费用</t>
  </si>
  <si>
    <t>税金</t>
  </si>
  <si>
    <t>抵扣土地开发的20％</t>
  </si>
  <si>
    <t>增值额</t>
  </si>
  <si>
    <t>抵扣数</t>
  </si>
  <si>
    <t>增值率</t>
  </si>
  <si>
    <t>增值税</t>
  </si>
  <si>
    <r>
      <rPr>
        <b/>
        <sz val="12"/>
        <rFont val="宋体"/>
        <charset val="134"/>
      </rPr>
      <t>当投标地价在</t>
    </r>
    <r>
      <rPr>
        <b/>
        <sz val="12"/>
        <rFont val="Times New Roman"/>
        <charset val="134"/>
      </rPr>
      <t>7.07</t>
    </r>
    <r>
      <rPr>
        <b/>
        <sz val="12"/>
        <rFont val="宋体"/>
        <charset val="134"/>
      </rPr>
      <t>亿到</t>
    </r>
    <r>
      <rPr>
        <b/>
        <sz val="12"/>
        <rFont val="Times New Roman"/>
        <charset val="134"/>
      </rPr>
      <t>10.07</t>
    </r>
    <r>
      <rPr>
        <b/>
        <sz val="12"/>
        <rFont val="宋体"/>
        <charset val="134"/>
      </rPr>
      <t>亿之间变动，销售净利率达到</t>
    </r>
    <r>
      <rPr>
        <b/>
        <sz val="12"/>
        <rFont val="Times New Roman"/>
        <charset val="134"/>
      </rPr>
      <t>9</t>
    </r>
    <r>
      <rPr>
        <b/>
        <sz val="12"/>
        <rFont val="宋体"/>
        <charset val="134"/>
      </rPr>
      <t>％时对住宅均价的要求</t>
    </r>
  </si>
  <si>
    <r>
      <rPr>
        <sz val="12"/>
        <rFont val="Times New Roman"/>
        <charset val="134"/>
      </rPr>
      <t>1</t>
    </r>
    <r>
      <rPr>
        <sz val="12"/>
        <rFont val="宋体"/>
        <charset val="134"/>
      </rPr>
      <t>、本表反映当地价从底价</t>
    </r>
    <r>
      <rPr>
        <sz val="12"/>
        <rFont val="Times New Roman"/>
        <charset val="134"/>
      </rPr>
      <t>7.07</t>
    </r>
    <r>
      <rPr>
        <sz val="12"/>
        <rFont val="宋体"/>
        <charset val="134"/>
      </rPr>
      <t>亿元到</t>
    </r>
    <r>
      <rPr>
        <sz val="12"/>
        <rFont val="Times New Roman"/>
        <charset val="134"/>
      </rPr>
      <t>9.351</t>
    </r>
    <r>
      <rPr>
        <sz val="12"/>
        <rFont val="宋体"/>
        <charset val="134"/>
      </rPr>
      <t>亿元的范围变动时，要满足销售净利率</t>
    </r>
    <r>
      <rPr>
        <sz val="12"/>
        <rFont val="Times New Roman"/>
        <charset val="134"/>
      </rPr>
      <t>9</t>
    </r>
    <r>
      <rPr>
        <sz val="12"/>
        <rFont val="宋体"/>
        <charset val="134"/>
      </rPr>
      <t>％时的住宅销售均价</t>
    </r>
  </si>
  <si>
    <r>
      <rPr>
        <sz val="12"/>
        <rFont val="Times New Roman"/>
        <charset val="134"/>
      </rPr>
      <t>2</t>
    </r>
    <r>
      <rPr>
        <sz val="12"/>
        <rFont val="宋体"/>
        <charset val="134"/>
      </rPr>
      <t>、其他产品类型价格保持不变。</t>
    </r>
  </si>
  <si>
    <t>序号</t>
  </si>
  <si>
    <t>举牌价 (万元)</t>
  </si>
  <si>
    <t>地价情况</t>
  </si>
  <si>
    <t>成本情况</t>
  </si>
  <si>
    <t>利润情况及经营指标</t>
  </si>
  <si>
    <r>
      <rPr>
        <sz val="10"/>
        <rFont val="宋体"/>
        <charset val="134"/>
      </rPr>
      <t>净地价（万元</t>
    </r>
    <r>
      <rPr>
        <sz val="10"/>
        <rFont val="Times New Roman"/>
        <charset val="134"/>
      </rPr>
      <t>/</t>
    </r>
    <r>
      <rPr>
        <sz val="10"/>
        <rFont val="宋体"/>
        <charset val="134"/>
      </rPr>
      <t>亩）</t>
    </r>
  </si>
  <si>
    <r>
      <rPr>
        <sz val="10"/>
        <rFont val="宋体"/>
        <charset val="134"/>
      </rPr>
      <t>可售楼面地价（元</t>
    </r>
    <r>
      <rPr>
        <sz val="10"/>
        <rFont val="Times New Roman"/>
        <charset val="134"/>
      </rPr>
      <t>/m</t>
    </r>
    <r>
      <rPr>
        <vertAlign val="superscript"/>
        <sz val="10"/>
        <rFont val="宋体"/>
        <charset val="134"/>
      </rPr>
      <t>2</t>
    </r>
    <r>
      <rPr>
        <sz val="10"/>
        <rFont val="宋体"/>
        <charset val="134"/>
      </rPr>
      <t>）</t>
    </r>
  </si>
  <si>
    <t>可售单位均价</t>
  </si>
  <si>
    <t>住宅均价</t>
  </si>
  <si>
    <r>
      <rPr>
        <sz val="10"/>
        <rFont val="宋体"/>
        <charset val="134"/>
      </rPr>
      <t>可售单位开发成本</t>
    </r>
    <r>
      <rPr>
        <sz val="10"/>
        <rFont val="Times New Roman"/>
        <charset val="134"/>
      </rPr>
      <t>(</t>
    </r>
    <r>
      <rPr>
        <sz val="10"/>
        <rFont val="宋体"/>
        <charset val="134"/>
      </rPr>
      <t>元</t>
    </r>
    <r>
      <rPr>
        <sz val="10"/>
        <rFont val="Times New Roman"/>
        <charset val="134"/>
      </rPr>
      <t>/m2)</t>
    </r>
  </si>
  <si>
    <r>
      <rPr>
        <sz val="10"/>
        <rFont val="宋体"/>
        <charset val="134"/>
      </rPr>
      <t>可售单位完全成本</t>
    </r>
    <r>
      <rPr>
        <sz val="10"/>
        <rFont val="Times New Roman"/>
        <charset val="134"/>
      </rPr>
      <t>(</t>
    </r>
    <r>
      <rPr>
        <sz val="10"/>
        <rFont val="宋体"/>
        <charset val="134"/>
      </rPr>
      <t>元</t>
    </r>
    <r>
      <rPr>
        <sz val="10"/>
        <rFont val="Times New Roman"/>
        <charset val="134"/>
      </rPr>
      <t>/m2)</t>
    </r>
  </si>
  <si>
    <t>项目利润（万元）</t>
  </si>
  <si>
    <t>税后利润（万元）</t>
  </si>
  <si>
    <t>销售毛利率(%)</t>
  </si>
  <si>
    <t>销售净利率(%)</t>
  </si>
  <si>
    <r>
      <rPr>
        <sz val="10"/>
        <rFont val="宋体"/>
        <charset val="134"/>
      </rPr>
      <t>单位面积毛利(元/m</t>
    </r>
    <r>
      <rPr>
        <vertAlign val="superscript"/>
        <sz val="10"/>
        <rFont val="宋体"/>
        <charset val="134"/>
      </rPr>
      <t>1)</t>
    </r>
  </si>
  <si>
    <r>
      <rPr>
        <sz val="10"/>
        <rFont val="宋体"/>
        <charset val="134"/>
      </rPr>
      <t>单位面积净利(元/m</t>
    </r>
    <r>
      <rPr>
        <vertAlign val="superscript"/>
        <sz val="10"/>
        <rFont val="宋体"/>
        <charset val="134"/>
      </rPr>
      <t>2</t>
    </r>
    <r>
      <rPr>
        <sz val="10"/>
        <rFont val="宋体"/>
        <charset val="134"/>
      </rPr>
      <t>)</t>
    </r>
  </si>
  <si>
    <t>投资回报率</t>
  </si>
  <si>
    <t>内部收益率(%)</t>
  </si>
  <si>
    <t>测试取数用</t>
  </si>
  <si>
    <t>净利率变动</t>
  </si>
  <si>
    <t>单位成本变动</t>
  </si>
  <si>
    <t>分期</t>
  </si>
  <si>
    <t>建筑面积㎡</t>
  </si>
  <si>
    <t>住宅面积㎡</t>
  </si>
  <si>
    <t>产品类型</t>
  </si>
  <si>
    <t>开工时间</t>
  </si>
  <si>
    <t>上市时间</t>
  </si>
  <si>
    <t>交付时间</t>
  </si>
  <si>
    <t>一期</t>
  </si>
  <si>
    <t>高层超高层110、140、160、180户型、联排</t>
  </si>
  <si>
    <t>二期</t>
  </si>
  <si>
    <t>三期</t>
  </si>
  <si>
    <t>四期</t>
  </si>
  <si>
    <t>总计</t>
  </si>
  <si>
    <r>
      <rPr>
        <sz val="10"/>
        <color rgb="FFFFFFFF"/>
        <rFont val="宋体"/>
        <charset val="134"/>
      </rPr>
      <t>2015</t>
    </r>
    <r>
      <rPr>
        <sz val="10"/>
        <color rgb="FFFFFFFF"/>
        <rFont val="楷体_GB2312"/>
        <charset val="134"/>
      </rPr>
      <t>年</t>
    </r>
  </si>
  <si>
    <r>
      <rPr>
        <sz val="10"/>
        <color rgb="FFFFFFFF"/>
        <rFont val="宋体"/>
        <charset val="134"/>
      </rPr>
      <t>2016</t>
    </r>
    <r>
      <rPr>
        <sz val="10"/>
        <color rgb="FFFFFFFF"/>
        <rFont val="楷体_GB2312"/>
        <charset val="134"/>
      </rPr>
      <t>年</t>
    </r>
  </si>
  <si>
    <r>
      <rPr>
        <sz val="10"/>
        <color rgb="FFFFFFFF"/>
        <rFont val="宋体"/>
        <charset val="134"/>
      </rPr>
      <t>2017</t>
    </r>
    <r>
      <rPr>
        <sz val="10"/>
        <color rgb="FFFFFFFF"/>
        <rFont val="楷体_GB2312"/>
        <charset val="134"/>
      </rPr>
      <t>年</t>
    </r>
  </si>
  <si>
    <t>2018年及以后</t>
  </si>
  <si>
    <t>建设面积（平米）</t>
  </si>
  <si>
    <t>其中：住宅</t>
  </si>
  <si>
    <t>商业</t>
  </si>
  <si>
    <t>办公</t>
  </si>
  <si>
    <t>车位</t>
  </si>
  <si>
    <t>销售面积（平米）</t>
  </si>
  <si>
    <t>销售金额（万元）</t>
  </si>
  <si>
    <r>
      <rPr>
        <sz val="10"/>
        <color rgb="FF000000"/>
        <rFont val="楷体_GB2312"/>
        <charset val="134"/>
      </rPr>
      <t>销售均价（元</t>
    </r>
    <r>
      <rPr>
        <sz val="10"/>
        <color rgb="FF000000"/>
        <rFont val="宋体"/>
        <charset val="134"/>
      </rPr>
      <t>/</t>
    </r>
    <r>
      <rPr>
        <sz val="10"/>
        <color rgb="FF000000"/>
        <rFont val="楷体_GB2312"/>
        <charset val="134"/>
      </rPr>
      <t>平米）</t>
    </r>
  </si>
  <si>
    <r>
      <rPr>
        <sz val="10"/>
        <color rgb="FF000000"/>
        <rFont val="楷体_GB2312"/>
        <charset val="134"/>
      </rPr>
      <t>销售金额</t>
    </r>
    <r>
      <rPr>
        <sz val="10"/>
        <color rgb="FF000000"/>
        <rFont val="宋体"/>
        <charset val="134"/>
      </rPr>
      <t>(</t>
    </r>
    <r>
      <rPr>
        <sz val="10"/>
        <color rgb="FF000000"/>
        <rFont val="楷体_GB2312"/>
        <charset val="134"/>
      </rPr>
      <t>万元）</t>
    </r>
  </si>
  <si>
    <t>结算金额（万元）</t>
  </si>
  <si>
    <t>创造净利润（万元）</t>
  </si>
  <si>
    <t>结算净利润（万元）</t>
  </si>
  <si>
    <r>
      <rPr>
        <sz val="10"/>
        <color rgb="FF000000"/>
        <rFont val="楷体_GB2312"/>
        <charset val="134"/>
      </rPr>
      <t>销售净利率（</t>
    </r>
    <r>
      <rPr>
        <sz val="10"/>
        <color rgb="FF000000"/>
        <rFont val="宋体"/>
        <charset val="134"/>
      </rPr>
      <t>%</t>
    </r>
    <r>
      <rPr>
        <sz val="10"/>
        <color rgb="FF000000"/>
        <rFont val="楷体_GB2312"/>
        <charset val="134"/>
      </rPr>
      <t>）</t>
    </r>
  </si>
  <si>
    <t>主要指标项目</t>
  </si>
  <si>
    <t>其他辅助指标情况</t>
  </si>
  <si>
    <t>项目销售收入（万元）</t>
  </si>
  <si>
    <r>
      <rPr>
        <sz val="10"/>
        <color rgb="FF000000"/>
        <rFont val="楷体_GB2312"/>
        <charset val="134"/>
      </rPr>
      <t>万科权益真实</t>
    </r>
    <r>
      <rPr>
        <sz val="10"/>
        <color rgb="FF000000"/>
        <rFont val="宋体"/>
        <charset val="134"/>
      </rPr>
      <t>IRR</t>
    </r>
  </si>
  <si>
    <t>地价的影响</t>
  </si>
  <si>
    <t>起拍指标</t>
  </si>
  <si>
    <r>
      <rPr>
        <sz val="10"/>
        <color rgb="FF000000"/>
        <rFont val="楷体_GB2312"/>
        <charset val="134"/>
      </rPr>
      <t>估算指标</t>
    </r>
    <r>
      <rPr>
        <sz val="10"/>
        <color rgb="FF000000"/>
        <rFont val="宋体"/>
        <charset val="134"/>
      </rPr>
      <t>1</t>
    </r>
  </si>
  <si>
    <r>
      <rPr>
        <sz val="10"/>
        <color rgb="FF000000"/>
        <rFont val="楷体_GB2312"/>
        <charset val="134"/>
      </rPr>
      <t>估算指标</t>
    </r>
    <r>
      <rPr>
        <sz val="10"/>
        <color rgb="FF000000"/>
        <rFont val="宋体"/>
        <charset val="134"/>
      </rPr>
      <t>2</t>
    </r>
  </si>
  <si>
    <t>申请地价</t>
  </si>
  <si>
    <r>
      <rPr>
        <sz val="10"/>
        <color rgb="FF000000"/>
        <rFont val="楷体_GB2312"/>
        <charset val="134"/>
      </rPr>
      <t>估算指标</t>
    </r>
    <r>
      <rPr>
        <sz val="10"/>
        <color rgb="FF000000"/>
        <rFont val="宋体"/>
        <charset val="134"/>
      </rPr>
      <t>4</t>
    </r>
  </si>
  <si>
    <t>项目开发成本（万元）</t>
  </si>
  <si>
    <t>万科权益资金峰值（万元）</t>
  </si>
  <si>
    <r>
      <rPr>
        <b/>
        <sz val="10"/>
        <color rgb="FF0000FF"/>
        <rFont val="楷体_GB2312"/>
        <charset val="134"/>
      </rPr>
      <t>竞买总价（万</t>
    </r>
    <r>
      <rPr>
        <b/>
        <sz val="10"/>
        <color rgb="FF0000FF"/>
        <rFont val="宋体"/>
        <charset val="134"/>
      </rPr>
      <t>/</t>
    </r>
    <r>
      <rPr>
        <b/>
        <sz val="10"/>
        <color rgb="FF0000FF"/>
        <rFont val="楷体_GB2312"/>
        <charset val="134"/>
      </rPr>
      <t>亩）</t>
    </r>
  </si>
  <si>
    <t>项目资金峰值（万元）</t>
  </si>
  <si>
    <t>万科权益资金峰值出现时点</t>
  </si>
  <si>
    <t>总地价（万元）</t>
  </si>
  <si>
    <t>项目资金峰值时间</t>
  </si>
  <si>
    <t>地价支付周期（月）</t>
  </si>
  <si>
    <t>竞买楼面单价</t>
  </si>
  <si>
    <t>累计现金流回正时间</t>
  </si>
  <si>
    <t>2017年4季度</t>
  </si>
  <si>
    <t>地价房价比</t>
  </si>
  <si>
    <t>实际溢价率</t>
  </si>
  <si>
    <t>项目总投资（万元）</t>
  </si>
  <si>
    <t>万科实际支付地价比</t>
  </si>
  <si>
    <t>内部收益率</t>
  </si>
  <si>
    <t>净利润总额（万元）</t>
  </si>
  <si>
    <r>
      <rPr>
        <sz val="10"/>
        <color rgb="FF000000"/>
        <rFont val="楷体_GB2312"/>
        <charset val="134"/>
      </rPr>
      <t>按产品类别的销售价格涨幅（</t>
    </r>
    <r>
      <rPr>
        <sz val="10"/>
        <color rgb="FF000000"/>
        <rFont val="宋体"/>
        <charset val="134"/>
      </rPr>
      <t>%/</t>
    </r>
    <r>
      <rPr>
        <sz val="10"/>
        <color rgb="FF000000"/>
        <rFont val="楷体_GB2312"/>
        <charset val="134"/>
      </rPr>
      <t>年）</t>
    </r>
  </si>
  <si>
    <t>销售净利率</t>
  </si>
  <si>
    <r>
      <rPr>
        <sz val="10"/>
        <color rgb="FF000000"/>
        <rFont val="楷体_GB2312"/>
        <charset val="134"/>
      </rPr>
      <t>项目内部收益率</t>
    </r>
    <r>
      <rPr>
        <sz val="10"/>
        <color rgb="FF000000"/>
        <rFont val="宋体"/>
        <charset val="134"/>
      </rPr>
      <t>IRR</t>
    </r>
  </si>
  <si>
    <r>
      <rPr>
        <sz val="10"/>
        <color rgb="FF000000"/>
        <rFont val="楷体_GB2312"/>
        <charset val="134"/>
      </rPr>
      <t>单方开发成本（元</t>
    </r>
    <r>
      <rPr>
        <sz val="10"/>
        <color rgb="FF000000"/>
        <rFont val="宋体"/>
        <charset val="134"/>
      </rPr>
      <t>/</t>
    </r>
    <r>
      <rPr>
        <sz val="10"/>
        <color rgb="FF000000"/>
        <rFont val="楷体_GB2312"/>
        <charset val="134"/>
      </rPr>
      <t>平米）</t>
    </r>
  </si>
  <si>
    <t>项目销售净利率</t>
  </si>
  <si>
    <t>项目保本单方售价</t>
  </si>
  <si>
    <t>项目首期销售净利率</t>
  </si>
  <si>
    <t>其中：高层住宅保本售价</t>
  </si>
  <si>
    <t>联排保本售价</t>
  </si>
  <si>
    <t>可售底商</t>
  </si>
  <si>
    <t>首次开盘销售均价</t>
  </si>
  <si>
    <t>其中：高层住宅开盘销售均价</t>
  </si>
  <si>
    <t>联排</t>
  </si>
  <si>
    <t>14-1Q</t>
  </si>
  <si>
    <t>14-2Q</t>
  </si>
  <si>
    <t>14-3Q</t>
  </si>
  <si>
    <t>14-4Q</t>
  </si>
  <si>
    <t>15-1Q</t>
  </si>
  <si>
    <t>15-2Q</t>
  </si>
  <si>
    <t>15-3Q</t>
  </si>
  <si>
    <t>15-4Q</t>
  </si>
  <si>
    <t>16-1Q</t>
  </si>
  <si>
    <t>16-2Q</t>
  </si>
  <si>
    <t>16-3Q</t>
  </si>
  <si>
    <t>16-4Q</t>
  </si>
  <si>
    <t>17-1Q</t>
  </si>
  <si>
    <t>17-2Q</t>
  </si>
  <si>
    <t>17-3Q</t>
  </si>
  <si>
    <t>17-4Q</t>
  </si>
  <si>
    <t>18-1Q</t>
  </si>
  <si>
    <t>18-2Q</t>
  </si>
  <si>
    <t>18-3Q</t>
  </si>
  <si>
    <t>18-4Q</t>
  </si>
  <si>
    <t>19-1Q</t>
  </si>
  <si>
    <t>19-2Q</t>
  </si>
  <si>
    <t>19-3Q</t>
  </si>
  <si>
    <t>19-4Q</t>
  </si>
  <si>
    <t>20-1Q</t>
  </si>
  <si>
    <t>20-2Q</t>
  </si>
  <si>
    <t>填报指引</t>
  </si>
  <si>
    <t>一、范围：适用于增值税一般征收办法的核心业务可研测算</t>
  </si>
  <si>
    <t>二、填写说明（财务）：</t>
  </si>
  <si>
    <r>
      <rPr>
        <sz val="10"/>
        <rFont val="Times New Roman"/>
        <charset val="134"/>
      </rPr>
      <t>1</t>
    </r>
    <r>
      <rPr>
        <sz val="10"/>
        <rFont val="宋体"/>
        <charset val="134"/>
      </rPr>
      <t>、分期、分产品：项目销售、成本、创造利润、结算利润均需分期、分产品类型填写</t>
    </r>
  </si>
  <si>
    <r>
      <rPr>
        <sz val="10"/>
        <rFont val="Times New Roman"/>
        <charset val="134"/>
      </rPr>
      <t>2</t>
    </r>
    <r>
      <rPr>
        <sz val="10"/>
        <rFont val="宋体"/>
        <charset val="134"/>
      </rPr>
      <t>、销售额：请按含增值税（销项税额）、不含增值税（销项税额）分别填列</t>
    </r>
  </si>
  <si>
    <r>
      <rPr>
        <sz val="10"/>
        <rFont val="Times New Roman"/>
        <charset val="134"/>
      </rPr>
      <t>3</t>
    </r>
    <r>
      <rPr>
        <sz val="10"/>
        <rFont val="宋体"/>
        <charset val="134"/>
      </rPr>
      <t>、成本：请按含增值税（进项税额）、不含增值税（进项税额）分别填列</t>
    </r>
  </si>
  <si>
    <r>
      <rPr>
        <sz val="10"/>
        <rFont val="Times New Roman"/>
        <charset val="134"/>
      </rPr>
      <t>4</t>
    </r>
    <r>
      <rPr>
        <sz val="10"/>
        <rFont val="宋体"/>
        <charset val="134"/>
      </rPr>
      <t>、所得税预征收毛利率：测算按</t>
    </r>
    <r>
      <rPr>
        <sz val="10"/>
        <rFont val="Times New Roman"/>
        <charset val="134"/>
      </rPr>
      <t>20%</t>
    </r>
    <r>
      <rPr>
        <sz val="10"/>
        <rFont val="宋体"/>
        <charset val="134"/>
      </rPr>
      <t>预估，可结合当地税收政策调整</t>
    </r>
  </si>
  <si>
    <r>
      <rPr>
        <sz val="10"/>
        <rFont val="Times New Roman"/>
        <charset val="134"/>
      </rPr>
      <t>5</t>
    </r>
    <r>
      <rPr>
        <sz val="10"/>
        <rFont val="宋体"/>
        <charset val="134"/>
      </rPr>
      <t>、资金成本：按集团最新下发的</t>
    </r>
    <r>
      <rPr>
        <sz val="10"/>
        <rFont val="Times New Roman"/>
        <charset val="134"/>
      </rPr>
      <t>WACC</t>
    </r>
    <r>
      <rPr>
        <sz val="10"/>
        <rFont val="宋体"/>
        <charset val="134"/>
      </rPr>
      <t>成本计算</t>
    </r>
  </si>
  <si>
    <r>
      <rPr>
        <sz val="10"/>
        <rFont val="Times New Roman"/>
        <charset val="134"/>
      </rPr>
      <t>6</t>
    </r>
    <r>
      <rPr>
        <sz val="10"/>
        <rFont val="宋体"/>
        <charset val="134"/>
      </rPr>
      <t>、增值税预征率</t>
    </r>
    <r>
      <rPr>
        <sz val="10"/>
        <rFont val="Times New Roman"/>
        <charset val="134"/>
      </rPr>
      <t>&amp;</t>
    </r>
    <r>
      <rPr>
        <sz val="10"/>
        <rFont val="宋体"/>
        <charset val="134"/>
      </rPr>
      <t>清算节奏：按</t>
    </r>
    <r>
      <rPr>
        <sz val="10"/>
        <rFont val="Times New Roman"/>
        <charset val="134"/>
      </rPr>
      <t>3%</t>
    </r>
    <r>
      <rPr>
        <sz val="10"/>
        <rFont val="宋体"/>
        <charset val="134"/>
      </rPr>
      <t>预征率，清算节奏暂估每年一次；若政策有变化，建议据实调整</t>
    </r>
  </si>
  <si>
    <r>
      <rPr>
        <sz val="10"/>
        <rFont val="Times New Roman"/>
        <charset val="134"/>
      </rPr>
      <t>7</t>
    </r>
    <r>
      <rPr>
        <sz val="10"/>
        <rFont val="宋体"/>
        <charset val="134"/>
      </rPr>
      <t>、地价：为方便计算，地价可抵扣的税金列入进项税抵扣</t>
    </r>
  </si>
  <si>
    <r>
      <rPr>
        <sz val="10"/>
        <rFont val="Times New Roman"/>
        <charset val="134"/>
      </rPr>
      <t>8</t>
    </r>
    <r>
      <rPr>
        <sz val="10"/>
        <rFont val="宋体"/>
        <charset val="134"/>
      </rPr>
      <t>、现金流之进项税：按工程款支付节奏匹配获取，若与项目预计情况有出入，建议据实调整</t>
    </r>
  </si>
  <si>
    <t>注：增值税不参与利润计算，增值税附加税参与利润计算</t>
  </si>
  <si>
    <t>三、填写说明（成本）：</t>
  </si>
  <si>
    <t>1、本表适用于新项目成本测算、项目定位成本测算、目标成本测算的统一格式。</t>
  </si>
  <si>
    <t>2、本表填报的主要责任部门为成本管理部。其中规划指标需设计部配合，建造标准按营销、设计、成本、工程等相关的部门的讨论结果确定；报批报建费根据项目发展部提供的《房地产税费一览表》及当地优惠政策进行填写，具体项目可根据当地的政策自行增加或删减。</t>
  </si>
  <si>
    <t>3、目标成本科目分类及代码应依据《万科集团成本核算指导》，且应保持一级至三级成本科目及代码的唯一性，四级及四级成本科目以下可根据项目的具体情况自行增减，但应与财务核算保持一致。</t>
  </si>
  <si>
    <t>4、开发间接费中的行政费用、资本化利息和期间费用，请财务部提供。</t>
  </si>
  <si>
    <t>5、成本测算时应根据量价分离的原则进行计算，并注明量、价的计算思路。新项目或项目定位时的成本测算如无法细分时，可根据当地已结算的同类工程直接填写总价和单价，但应注明参考项目的成本情况。</t>
  </si>
  <si>
    <t>6、成本汇总表的总价从各表自动取数，并根据项目的一般分摊原则设置了分摊公式（已在备注中说明），如不符合项目的实际情况请自行修改公式；</t>
  </si>
  <si>
    <t>7、项目规模较大或分期开发时，《目标成本测算》中的地价宜按各期或各产品类型的占地面积分摊（当期中的公共用地按各产品类型的可售面积比例分摊），以免因后期规划调整对已完工程的成本核算造成影响。</t>
  </si>
  <si>
    <t>8、可销售的商业网点为独立的核算对象时，应作为一种产品类型单独计算其主体建安成本和收益情况。</t>
  </si>
  <si>
    <t>9、地面车库、架空层车位、地下车库有产权可销售时应作为独立的核算对象，单独计算其主体建安成本，并至少应保留12M2对应的建安成本。如其不可售时，其建安成本应全部作为配套设施费全部摊销。</t>
  </si>
  <si>
    <t>10、新项目成本测算时，该表应以连同财务测算部分在新项目发展小组实地调研前两天用电子邮件发送到总部财务部成本组。并尽量提供如下资料：项目所在城市政府基准地价或标定地价、税收及优惠政策、政府房地产规费及优惠政策、该区域集团已有类似项目的结算成本、该城市类似项目概算指标、设计概算、投资估算指标等工程造价资料、拟签订土地合约及地价资料、城市水文地质及工程地质勘探资料等。</t>
  </si>
  <si>
    <t>11、表中各成本项目所包括的内容详见《万科集团目标成本实施细则》</t>
  </si>
  <si>
    <t>12、项目成本测算时，表中与规划有关的数据尽量从规划指标中引用采用公式计算，便于规划改变时自动计算。</t>
  </si>
  <si>
    <t>一、地块基本信息</t>
  </si>
  <si>
    <r>
      <rPr>
        <b/>
        <sz val="10"/>
        <rFont val="Times New Roman"/>
        <charset val="134"/>
      </rPr>
      <t>1</t>
    </r>
    <r>
      <rPr>
        <b/>
        <sz val="10"/>
        <rFont val="宋体"/>
        <charset val="134"/>
      </rPr>
      <t>、土地成交价格敏感性</t>
    </r>
  </si>
  <si>
    <t>勾稽关系检查通过</t>
  </si>
  <si>
    <t>占地面积</t>
  </si>
  <si>
    <t>平方米</t>
  </si>
  <si>
    <r>
      <rPr>
        <b/>
        <sz val="10"/>
        <rFont val="宋体"/>
        <charset val="134"/>
      </rPr>
      <t>起价</t>
    </r>
  </si>
  <si>
    <r>
      <rPr>
        <b/>
        <sz val="10"/>
        <rFont val="宋体"/>
        <charset val="134"/>
      </rPr>
      <t>加价</t>
    </r>
  </si>
  <si>
    <r>
      <rPr>
        <b/>
        <sz val="10"/>
        <rFont val="宋体"/>
        <charset val="134"/>
      </rPr>
      <t>成交价格</t>
    </r>
  </si>
  <si>
    <r>
      <rPr>
        <b/>
        <sz val="10"/>
        <rFont val="宋体"/>
        <charset val="134"/>
      </rPr>
      <t>底价上涨比例</t>
    </r>
  </si>
  <si>
    <t>容积率</t>
  </si>
  <si>
    <t>每亩地价</t>
  </si>
  <si>
    <t>手动调节资本化利息</t>
  </si>
  <si>
    <t>参考值</t>
  </si>
  <si>
    <t>计容积率面积</t>
  </si>
  <si>
    <t>手动值</t>
  </si>
  <si>
    <t>起拍价</t>
  </si>
  <si>
    <t>万/亩</t>
  </si>
  <si>
    <r>
      <rPr>
        <sz val="10"/>
        <rFont val="宋体"/>
        <charset val="134"/>
      </rPr>
      <t>楼面价（元</t>
    </r>
    <r>
      <rPr>
        <sz val="10"/>
        <rFont val="Times New Roman"/>
        <charset val="134"/>
      </rPr>
      <t>/</t>
    </r>
    <r>
      <rPr>
        <sz val="10"/>
        <rFont val="宋体"/>
        <charset val="134"/>
      </rPr>
      <t>平米）</t>
    </r>
  </si>
  <si>
    <t>二、经济指标</t>
  </si>
  <si>
    <t>股权收购的溢价</t>
  </si>
  <si>
    <r>
      <rPr>
        <b/>
        <sz val="10"/>
        <rFont val="宋体"/>
        <charset val="134"/>
      </rPr>
      <t>项目</t>
    </r>
  </si>
  <si>
    <r>
      <rPr>
        <b/>
        <sz val="10"/>
        <rFont val="宋体"/>
        <charset val="134"/>
      </rPr>
      <t>指标值</t>
    </r>
  </si>
  <si>
    <r>
      <rPr>
        <b/>
        <sz val="10"/>
        <rFont val="宋体"/>
        <charset val="134"/>
      </rPr>
      <t>2、</t>
    </r>
    <r>
      <rPr>
        <b/>
        <sz val="10"/>
        <color rgb="FFFF0000"/>
        <rFont val="宋体"/>
        <charset val="134"/>
      </rPr>
      <t>税售单价（含税）</t>
    </r>
    <r>
      <rPr>
        <b/>
        <sz val="10"/>
        <rFont val="宋体"/>
        <charset val="134"/>
      </rPr>
      <t>敏感性</t>
    </r>
  </si>
  <si>
    <r>
      <rPr>
        <sz val="10"/>
        <rFont val="宋体"/>
        <charset val="134"/>
      </rPr>
      <t>核心指标</t>
    </r>
  </si>
  <si>
    <r>
      <rPr>
        <sz val="10"/>
        <rFont val="Times New Roman"/>
        <charset val="134"/>
      </rPr>
      <t>1</t>
    </r>
    <r>
      <rPr>
        <sz val="10"/>
        <rFont val="宋体"/>
        <charset val="134"/>
      </rPr>
      <t>、内部收益率</t>
    </r>
  </si>
  <si>
    <t>起价</t>
  </si>
  <si>
    <t>季度价格涨幅</t>
  </si>
  <si>
    <t>均价</t>
  </si>
  <si>
    <t>面积</t>
  </si>
  <si>
    <t>销售额</t>
  </si>
  <si>
    <r>
      <rPr>
        <sz val="10"/>
        <rFont val="Times New Roman"/>
        <charset val="134"/>
      </rPr>
      <t>2</t>
    </r>
    <r>
      <rPr>
        <sz val="10"/>
        <rFont val="宋体"/>
        <charset val="134"/>
      </rPr>
      <t>、销售毛利率</t>
    </r>
  </si>
  <si>
    <t>高层住宅</t>
  </si>
  <si>
    <r>
      <rPr>
        <sz val="10"/>
        <rFont val="Times New Roman"/>
        <charset val="134"/>
      </rPr>
      <t>3</t>
    </r>
    <r>
      <rPr>
        <sz val="10"/>
        <rFont val="宋体"/>
        <charset val="134"/>
      </rPr>
      <t>、销售净利率</t>
    </r>
  </si>
  <si>
    <r>
      <rPr>
        <sz val="10"/>
        <rFont val="Times New Roman"/>
        <charset val="134"/>
      </rPr>
      <t>4</t>
    </r>
    <r>
      <rPr>
        <sz val="10"/>
        <rFont val="宋体"/>
        <charset val="134"/>
      </rPr>
      <t>、增值税税率</t>
    </r>
  </si>
  <si>
    <r>
      <rPr>
        <sz val="10"/>
        <rFont val="Times New Roman"/>
        <charset val="134"/>
      </rPr>
      <t>5</t>
    </r>
    <r>
      <rPr>
        <sz val="10"/>
        <rFont val="宋体"/>
        <charset val="134"/>
      </rPr>
      <t>、现金流回正（月）</t>
    </r>
  </si>
  <si>
    <t>街区式商业</t>
  </si>
  <si>
    <t>规模指标</t>
  </si>
  <si>
    <r>
      <rPr>
        <sz val="10"/>
        <rFont val="Times New Roman"/>
        <charset val="134"/>
      </rPr>
      <t>6</t>
    </r>
    <r>
      <rPr>
        <sz val="10"/>
        <rFont val="宋体"/>
        <charset val="134"/>
      </rPr>
      <t>、项目总销售额（含税）</t>
    </r>
  </si>
  <si>
    <t>普通地下室</t>
  </si>
  <si>
    <t>7、项目总销售额（不含税）</t>
  </si>
  <si>
    <r>
      <rPr>
        <sz val="10"/>
        <rFont val="Times New Roman"/>
        <charset val="134"/>
      </rPr>
      <t>8</t>
    </r>
    <r>
      <rPr>
        <sz val="10"/>
        <rFont val="宋体"/>
        <charset val="134"/>
      </rPr>
      <t>、项目总投资（含税）</t>
    </r>
  </si>
  <si>
    <t>9、项目总投资（不含税）</t>
  </si>
  <si>
    <r>
      <rPr>
        <b/>
        <sz val="10"/>
        <rFont val="Times New Roman"/>
        <charset val="134"/>
      </rPr>
      <t>3</t>
    </r>
    <r>
      <rPr>
        <b/>
        <sz val="10"/>
        <rFont val="宋体"/>
        <charset val="134"/>
      </rPr>
      <t>、溢价敏感性（简算）</t>
    </r>
  </si>
  <si>
    <t>注：假设地价总额中含溢价</t>
  </si>
  <si>
    <t>总销售额</t>
  </si>
  <si>
    <r>
      <rPr>
        <sz val="10"/>
        <rFont val="Times New Roman"/>
        <charset val="134"/>
      </rPr>
      <t>10</t>
    </r>
    <r>
      <rPr>
        <sz val="10"/>
        <rFont val="宋体"/>
        <charset val="134"/>
      </rPr>
      <t>、项目资金峰值</t>
    </r>
  </si>
  <si>
    <t>总溢价（万元）</t>
  </si>
  <si>
    <t>敏感测算</t>
  </si>
  <si>
    <t>总成本</t>
  </si>
  <si>
    <r>
      <rPr>
        <sz val="10"/>
        <rFont val="Times New Roman"/>
        <charset val="134"/>
      </rPr>
      <t>11</t>
    </r>
    <r>
      <rPr>
        <sz val="10"/>
        <rFont val="宋体"/>
        <charset val="134"/>
      </rPr>
      <t>、项目净利润</t>
    </r>
  </si>
  <si>
    <r>
      <rPr>
        <sz val="10"/>
        <rFont val="宋体"/>
        <charset val="134"/>
      </rPr>
      <t>楼面溢价（元</t>
    </r>
    <r>
      <rPr>
        <sz val="10"/>
        <rFont val="Times New Roman"/>
        <charset val="134"/>
      </rPr>
      <t>/</t>
    </r>
    <r>
      <rPr>
        <sz val="10"/>
        <rFont val="宋体"/>
        <charset val="134"/>
      </rPr>
      <t>平米）</t>
    </r>
  </si>
  <si>
    <r>
      <rPr>
        <sz val="10"/>
        <rFont val="Times New Roman"/>
        <charset val="134"/>
      </rPr>
      <t>12</t>
    </r>
    <r>
      <rPr>
        <sz val="10"/>
        <rFont val="宋体"/>
        <charset val="134"/>
      </rPr>
      <t>、年均销售面积</t>
    </r>
  </si>
  <si>
    <t>占总地价比例</t>
  </si>
  <si>
    <t>跟投指标</t>
  </si>
  <si>
    <r>
      <rPr>
        <sz val="10"/>
        <rFont val="Times New Roman"/>
        <charset val="134"/>
      </rPr>
      <t>13</t>
    </r>
    <r>
      <rPr>
        <sz val="10"/>
        <rFont val="宋体"/>
        <charset val="134"/>
      </rPr>
      <t>、跟投</t>
    </r>
    <r>
      <rPr>
        <sz val="10"/>
        <rFont val="Times New Roman"/>
        <charset val="134"/>
      </rPr>
      <t>IRR</t>
    </r>
    <r>
      <rPr>
        <sz val="10"/>
        <rFont val="宋体"/>
        <charset val="134"/>
      </rPr>
      <t>（无杠杆）</t>
    </r>
  </si>
  <si>
    <t>增值税税率</t>
  </si>
  <si>
    <r>
      <rPr>
        <sz val="10"/>
        <rFont val="Times New Roman"/>
        <charset val="134"/>
      </rPr>
      <t>14</t>
    </r>
    <r>
      <rPr>
        <sz val="10"/>
        <rFont val="宋体"/>
        <charset val="134"/>
      </rPr>
      <t>、</t>
    </r>
    <r>
      <rPr>
        <sz val="10"/>
        <rFont val="Times New Roman"/>
        <charset val="134"/>
      </rPr>
      <t>MOIC</t>
    </r>
    <r>
      <rPr>
        <sz val="10"/>
        <rFont val="宋体"/>
        <charset val="134"/>
      </rPr>
      <t>（无杠杆）</t>
    </r>
  </si>
  <si>
    <t>土增税总额（预缴+清算）</t>
  </si>
  <si>
    <r>
      <rPr>
        <sz val="10"/>
        <rFont val="Times New Roman"/>
        <charset val="134"/>
      </rPr>
      <t>15</t>
    </r>
    <r>
      <rPr>
        <sz val="10"/>
        <rFont val="宋体"/>
        <charset val="134"/>
      </rPr>
      <t>、跟投</t>
    </r>
    <r>
      <rPr>
        <sz val="10"/>
        <rFont val="Times New Roman"/>
        <charset val="134"/>
      </rPr>
      <t>IRR</t>
    </r>
    <r>
      <rPr>
        <sz val="10"/>
        <rFont val="宋体"/>
        <charset val="134"/>
      </rPr>
      <t>（</t>
    </r>
    <r>
      <rPr>
        <sz val="10"/>
        <rFont val="Times New Roman"/>
        <charset val="134"/>
      </rPr>
      <t>1</t>
    </r>
    <r>
      <rPr>
        <sz val="10"/>
        <rFont val="宋体"/>
        <charset val="134"/>
      </rPr>
      <t>倍）</t>
    </r>
  </si>
  <si>
    <t>土增税占销售收入（不含税）比</t>
  </si>
  <si>
    <r>
      <rPr>
        <sz val="10"/>
        <rFont val="Times New Roman"/>
        <charset val="134"/>
      </rPr>
      <t>16</t>
    </r>
    <r>
      <rPr>
        <sz val="10"/>
        <rFont val="宋体"/>
        <charset val="134"/>
      </rPr>
      <t>、</t>
    </r>
    <r>
      <rPr>
        <sz val="10"/>
        <rFont val="Times New Roman"/>
        <charset val="134"/>
      </rPr>
      <t>MOIC</t>
    </r>
    <r>
      <rPr>
        <sz val="10"/>
        <rFont val="宋体"/>
        <charset val="134"/>
      </rPr>
      <t>（</t>
    </r>
    <r>
      <rPr>
        <sz val="10"/>
        <rFont val="Times New Roman"/>
        <charset val="134"/>
      </rPr>
      <t>1</t>
    </r>
    <r>
      <rPr>
        <sz val="10"/>
        <rFont val="宋体"/>
        <charset val="134"/>
      </rPr>
      <t>倍）</t>
    </r>
  </si>
  <si>
    <t>销售毛利率</t>
  </si>
  <si>
    <t>三、分年业绩体现情况</t>
  </si>
  <si>
    <r>
      <rPr>
        <b/>
        <sz val="10"/>
        <rFont val="Times New Roman"/>
        <charset val="134"/>
      </rPr>
      <t>2016</t>
    </r>
    <r>
      <rPr>
        <b/>
        <sz val="10"/>
        <rFont val="宋体"/>
        <charset val="134"/>
      </rPr>
      <t>年</t>
    </r>
  </si>
  <si>
    <r>
      <rPr>
        <b/>
        <sz val="10"/>
        <rFont val="Times New Roman"/>
        <charset val="134"/>
      </rPr>
      <t>2017年</t>
    </r>
  </si>
  <si>
    <r>
      <rPr>
        <b/>
        <sz val="10"/>
        <rFont val="Times New Roman"/>
        <charset val="134"/>
      </rPr>
      <t>2018年</t>
    </r>
  </si>
  <si>
    <r>
      <rPr>
        <b/>
        <sz val="10"/>
        <rFont val="Times New Roman"/>
        <charset val="134"/>
      </rPr>
      <t>2019年</t>
    </r>
  </si>
  <si>
    <r>
      <rPr>
        <b/>
        <sz val="10"/>
        <rFont val="Times New Roman"/>
        <charset val="134"/>
      </rPr>
      <t>2020年</t>
    </r>
  </si>
  <si>
    <r>
      <rPr>
        <b/>
        <sz val="10"/>
        <rFont val="Times New Roman"/>
        <charset val="134"/>
      </rPr>
      <t>2021年</t>
    </r>
  </si>
  <si>
    <r>
      <rPr>
        <b/>
        <sz val="10"/>
        <rFont val="Times New Roman"/>
        <charset val="134"/>
      </rPr>
      <t>2022年</t>
    </r>
  </si>
  <si>
    <t>销售面积</t>
  </si>
  <si>
    <t>销售金额（不含税）</t>
  </si>
  <si>
    <t>项目利润</t>
  </si>
  <si>
    <t>创造净利润</t>
  </si>
  <si>
    <t>毛利率</t>
  </si>
  <si>
    <t>净利率</t>
  </si>
  <si>
    <t>结算面积</t>
  </si>
  <si>
    <t>结算金额</t>
  </si>
  <si>
    <t>结算利润</t>
  </si>
  <si>
    <t>四、分产品盈利能力</t>
  </si>
  <si>
    <t>项目</t>
  </si>
  <si>
    <t>多层洋房</t>
  </si>
  <si>
    <t>销售收入（含税）（万元）</t>
  </si>
  <si>
    <t>销售收入（不含税）（万元）</t>
  </si>
  <si>
    <t>销售均价（含税）（元/平米）</t>
  </si>
  <si>
    <t>销售均价（不含税）（元/平米）</t>
  </si>
  <si>
    <t>单方成本（不含税）（元/平米）</t>
  </si>
  <si>
    <t>销售成本（不含税）（万元）</t>
  </si>
  <si>
    <t>增值税附加税+土增税（万元）</t>
  </si>
  <si>
    <t>期间费用（万元）</t>
  </si>
  <si>
    <r>
      <rPr>
        <sz val="10"/>
        <rFont val="Times New Roman"/>
        <charset val="134"/>
      </rPr>
      <t xml:space="preserve">     </t>
    </r>
    <r>
      <rPr>
        <sz val="10"/>
        <rFont val="宋体"/>
        <charset val="134"/>
      </rPr>
      <t>其中：管理费用（万元）</t>
    </r>
  </si>
  <si>
    <r>
      <rPr>
        <sz val="10"/>
        <rFont val="Times New Roman"/>
        <charset val="134"/>
      </rPr>
      <t xml:space="preserve">                  </t>
    </r>
    <r>
      <rPr>
        <sz val="10"/>
        <rFont val="宋体"/>
        <charset val="134"/>
      </rPr>
      <t>销售费用（万元）</t>
    </r>
  </si>
  <si>
    <r>
      <rPr>
        <sz val="10"/>
        <rFont val="Times New Roman"/>
        <charset val="134"/>
      </rPr>
      <t xml:space="preserve">     </t>
    </r>
    <r>
      <rPr>
        <sz val="10"/>
        <rFont val="宋体"/>
        <charset val="134"/>
      </rPr>
      <t>税前利润（万元）</t>
    </r>
  </si>
  <si>
    <t>所得税（万元）</t>
  </si>
  <si>
    <t>单方净利（元/平米）</t>
  </si>
  <si>
    <t>一、项目可售资源</t>
  </si>
  <si>
    <t>二、开发计划</t>
  </si>
  <si>
    <t xml:space="preserve"> </t>
  </si>
  <si>
    <t>土地获取时间</t>
  </si>
  <si>
    <t>土增值税清算时间</t>
  </si>
  <si>
    <t>21-2Q</t>
  </si>
  <si>
    <t>开发节奏</t>
  </si>
  <si>
    <t>开工</t>
  </si>
  <si>
    <t>销售</t>
  </si>
  <si>
    <t>交付</t>
  </si>
  <si>
    <t>结算</t>
  </si>
  <si>
    <t>开发周期</t>
  </si>
  <si>
    <t>21-1Q</t>
  </si>
  <si>
    <t>三、期间费用</t>
  </si>
  <si>
    <t>管理费用占销售额（不含税）总比例</t>
  </si>
  <si>
    <t>其中：行政管理费（列入开发管理费）</t>
  </si>
  <si>
    <t>剩余管理费用占销售额（不含税）总比例</t>
  </si>
  <si>
    <t>营销费用占销售额（不含税）比例</t>
  </si>
  <si>
    <t>四、税率参数</t>
  </si>
  <si>
    <t>预计税费情况</t>
  </si>
  <si>
    <t>税率</t>
  </si>
  <si>
    <t>增值税附加税</t>
  </si>
  <si>
    <t>所得税预征收毛利率</t>
  </si>
  <si>
    <t>企业所得税</t>
  </si>
  <si>
    <t>销项税额</t>
  </si>
  <si>
    <t>进项税额</t>
  </si>
  <si>
    <t>增值税率</t>
  </si>
  <si>
    <t>土地增值税</t>
  </si>
  <si>
    <t>综合土增值税率</t>
  </si>
  <si>
    <t>土地增值税预缴率</t>
  </si>
  <si>
    <t>均指含税价格</t>
  </si>
  <si>
    <r>
      <rPr>
        <sz val="10"/>
        <rFont val="Times New Roman"/>
        <charset val="134"/>
      </rPr>
      <t>2015年</t>
    </r>
  </si>
  <si>
    <r>
      <rPr>
        <sz val="10"/>
        <rFont val="Times New Roman"/>
        <charset val="134"/>
      </rPr>
      <t>2016</t>
    </r>
    <r>
      <rPr>
        <sz val="10"/>
        <rFont val="宋体"/>
        <charset val="134"/>
      </rPr>
      <t>年</t>
    </r>
  </si>
  <si>
    <r>
      <rPr>
        <sz val="10"/>
        <rFont val="Times New Roman"/>
        <charset val="134"/>
      </rPr>
      <t>2017年</t>
    </r>
  </si>
  <si>
    <r>
      <rPr>
        <sz val="10"/>
        <rFont val="Times New Roman"/>
        <charset val="134"/>
      </rPr>
      <t>2018年</t>
    </r>
  </si>
  <si>
    <r>
      <rPr>
        <sz val="10"/>
        <rFont val="Times New Roman"/>
        <charset val="134"/>
      </rPr>
      <t>2019年</t>
    </r>
  </si>
  <si>
    <r>
      <rPr>
        <sz val="10"/>
        <rFont val="Times New Roman"/>
        <charset val="134"/>
      </rPr>
      <t>2020年</t>
    </r>
  </si>
  <si>
    <r>
      <rPr>
        <sz val="10"/>
        <rFont val="Times New Roman"/>
        <charset val="134"/>
      </rPr>
      <t>2021年</t>
    </r>
  </si>
  <si>
    <r>
      <rPr>
        <sz val="10"/>
        <rFont val="Times New Roman"/>
        <charset val="134"/>
      </rPr>
      <t>2022年</t>
    </r>
  </si>
  <si>
    <t>2023年</t>
  </si>
  <si>
    <t>2024年</t>
  </si>
  <si>
    <t>2025年</t>
  </si>
  <si>
    <t>累计</t>
  </si>
  <si>
    <t>20-3Q</t>
  </si>
  <si>
    <t>20-4Q</t>
  </si>
  <si>
    <t>21-3Q</t>
  </si>
  <si>
    <t>21-4Q</t>
  </si>
  <si>
    <t>22-1Q</t>
  </si>
  <si>
    <t>22-2Q</t>
  </si>
  <si>
    <t>22-3Q</t>
  </si>
  <si>
    <t>22-4Q</t>
  </si>
  <si>
    <t>23-1Q</t>
  </si>
  <si>
    <t>23-2Q</t>
  </si>
  <si>
    <t>23-3Q</t>
  </si>
  <si>
    <t>23-4Q</t>
  </si>
  <si>
    <t>24-1Q</t>
  </si>
  <si>
    <t>24-2Q</t>
  </si>
  <si>
    <t>24-3Q</t>
  </si>
  <si>
    <t>24-4Q</t>
  </si>
  <si>
    <t>25-1Q</t>
  </si>
  <si>
    <t>25-2Q</t>
  </si>
  <si>
    <t>25-3Q</t>
  </si>
  <si>
    <t>25-4Q</t>
  </si>
  <si>
    <t>销售合计</t>
  </si>
  <si>
    <t>销售价格</t>
  </si>
  <si>
    <t>销售金额</t>
  </si>
  <si>
    <t>均指不含税价格</t>
  </si>
  <si>
    <t>11-1Q</t>
  </si>
  <si>
    <t>11-2Q</t>
  </si>
  <si>
    <t>11-3Q</t>
  </si>
  <si>
    <t>11-4Q</t>
  </si>
  <si>
    <t>销售额（不含税）</t>
  </si>
  <si>
    <t>一、现金流入（含销项税）</t>
  </si>
  <si>
    <t>二、现金流出</t>
  </si>
  <si>
    <r>
      <rPr>
        <b/>
        <sz val="10"/>
        <rFont val="Times New Roman"/>
        <charset val="134"/>
      </rPr>
      <t>1</t>
    </r>
    <r>
      <rPr>
        <b/>
        <sz val="10"/>
        <rFont val="宋体"/>
        <charset val="134"/>
      </rPr>
      <t>、付地价款</t>
    </r>
  </si>
  <si>
    <t>土地出让金</t>
  </si>
  <si>
    <t>契税</t>
  </si>
  <si>
    <t>地价工程</t>
  </si>
  <si>
    <r>
      <rPr>
        <b/>
        <sz val="10"/>
        <rFont val="Times New Roman"/>
        <charset val="134"/>
      </rPr>
      <t>2</t>
    </r>
    <r>
      <rPr>
        <b/>
        <sz val="10"/>
        <rFont val="宋体"/>
        <charset val="134"/>
      </rPr>
      <t>、付工程款</t>
    </r>
  </si>
  <si>
    <t>不含税工程款</t>
  </si>
  <si>
    <t>进项税</t>
  </si>
  <si>
    <r>
      <rPr>
        <b/>
        <sz val="10"/>
        <rFont val="Times New Roman"/>
        <charset val="134"/>
      </rPr>
      <t>3</t>
    </r>
    <r>
      <rPr>
        <b/>
        <sz val="10"/>
        <rFont val="宋体"/>
        <charset val="134"/>
      </rPr>
      <t>、期间费用</t>
    </r>
  </si>
  <si>
    <t>管理费用</t>
  </si>
  <si>
    <t>营销费用</t>
  </si>
  <si>
    <r>
      <rPr>
        <b/>
        <sz val="10"/>
        <rFont val="Times New Roman"/>
        <charset val="134"/>
      </rPr>
      <t>4</t>
    </r>
    <r>
      <rPr>
        <b/>
        <sz val="10"/>
        <rFont val="宋体"/>
        <charset val="134"/>
      </rPr>
      <t>、预缴税金</t>
    </r>
  </si>
  <si>
    <t>预交增值税及附加</t>
  </si>
  <si>
    <t>预交土地增值税</t>
  </si>
  <si>
    <t>所得税预缴</t>
  </si>
  <si>
    <r>
      <rPr>
        <b/>
        <sz val="10"/>
        <rFont val="Times New Roman"/>
        <charset val="134"/>
      </rPr>
      <t>5</t>
    </r>
    <r>
      <rPr>
        <b/>
        <sz val="10"/>
        <rFont val="宋体"/>
        <charset val="134"/>
      </rPr>
      <t>、汇缴税金</t>
    </r>
  </si>
  <si>
    <t>增值税及附加清缴</t>
  </si>
  <si>
    <t>所得税汇算清缴</t>
  </si>
  <si>
    <t>补缴土地增值税</t>
  </si>
  <si>
    <t>三、净现金流</t>
  </si>
  <si>
    <t>四、累计净现金流</t>
  </si>
  <si>
    <t>五、资本化利息</t>
  </si>
  <si>
    <t>IRR</t>
  </si>
  <si>
    <t>check</t>
  </si>
  <si>
    <t>项目层现金流情况：</t>
  </si>
  <si>
    <r>
      <rPr>
        <sz val="10"/>
        <rFont val="宋体"/>
        <charset val="134"/>
      </rPr>
      <t>经营流入</t>
    </r>
  </si>
  <si>
    <r>
      <rPr>
        <sz val="10"/>
        <rFont val="宋体"/>
        <charset val="134"/>
      </rPr>
      <t>经营流出</t>
    </r>
  </si>
  <si>
    <t>跟投人分享融资</t>
  </si>
  <si>
    <t>跟投人分享融资利息</t>
  </si>
  <si>
    <t>净现金流</t>
  </si>
  <si>
    <t>累计净现金流</t>
  </si>
  <si>
    <t>创造利润</t>
  </si>
  <si>
    <t>累计可分配利润</t>
  </si>
  <si>
    <t>税后累计可分配利润</t>
  </si>
  <si>
    <t>预售监管资金余额</t>
  </si>
  <si>
    <t>预留经营性资产成本</t>
  </si>
  <si>
    <t>预留车位成本</t>
  </si>
  <si>
    <t>预留未来半年资金</t>
  </si>
  <si>
    <t>累计可预分配资金</t>
  </si>
  <si>
    <t>清算分配资金</t>
  </si>
  <si>
    <t>合计分配资金</t>
  </si>
  <si>
    <t>股东投入峰值</t>
  </si>
  <si>
    <t>员工跟投比例</t>
  </si>
  <si>
    <t>员工跟投比例（杠杆后）</t>
  </si>
  <si>
    <t>员工跟投层</t>
  </si>
  <si>
    <t>投资款支出</t>
  </si>
  <si>
    <t>前期垫付利息补偿</t>
  </si>
  <si>
    <t>收回盈达出资</t>
  </si>
  <si>
    <t>支付盈达利息</t>
  </si>
  <si>
    <t>投资分回（不认购盈达）</t>
  </si>
  <si>
    <t>投资分回（认购盈达）</t>
  </si>
  <si>
    <t>投资净现金流（不认购盈达）</t>
  </si>
  <si>
    <t>投资净现金流（认购盈达）</t>
  </si>
  <si>
    <t>投资IRR(税后无杠杆）</t>
  </si>
  <si>
    <t>投资IRR（税后含杠杆）</t>
  </si>
  <si>
    <t>MOIC（税后无杠杆）</t>
  </si>
  <si>
    <t>MOIC（税后含杠杆）</t>
  </si>
  <si>
    <t>项目名称</t>
  </si>
  <si>
    <t>总体规划</t>
  </si>
  <si>
    <t>成本汇总表</t>
  </si>
  <si>
    <t>销售计划</t>
  </si>
  <si>
    <t>结算计划</t>
  </si>
  <si>
    <t>现金流量</t>
  </si>
  <si>
    <t>经济指标</t>
  </si>
  <si>
    <t>基础信息</t>
  </si>
  <si>
    <t>检查式</t>
  </si>
  <si>
    <t>备注</t>
  </si>
  <si>
    <t>可售面积</t>
  </si>
  <si>
    <t>不含车位</t>
  </si>
  <si>
    <t>含车位按面积</t>
  </si>
  <si>
    <t>净利润</t>
  </si>
  <si>
    <t>增值税附加税+土增税</t>
  </si>
  <si>
    <t>所得税</t>
  </si>
  <si>
    <t>检查式合计</t>
  </si>
  <si>
    <r>
      <rPr>
        <sz val="10"/>
        <rFont val="Times New Roman"/>
        <charset val="134"/>
      </rPr>
      <t>2026</t>
    </r>
    <r>
      <rPr>
        <sz val="10"/>
        <rFont val="宋体"/>
        <charset val="134"/>
      </rPr>
      <t>年</t>
    </r>
  </si>
  <si>
    <t>26-1Q</t>
  </si>
  <si>
    <t>结算合计</t>
  </si>
  <si>
    <t>结算单价</t>
  </si>
  <si>
    <t>结算金额（不含税）</t>
  </si>
  <si>
    <t>销售收入（不含税）</t>
  </si>
  <si>
    <t>销售成本（不含税）</t>
  </si>
  <si>
    <t>溢价调整所得税</t>
  </si>
  <si>
    <r>
      <rPr>
        <sz val="10"/>
        <rFont val="宋体"/>
        <charset val="134"/>
      </rPr>
      <t xml:space="preserve">    </t>
    </r>
    <r>
      <rPr>
        <sz val="10"/>
        <rFont val="宋体"/>
        <charset val="134"/>
      </rPr>
      <t>其中：管理费用</t>
    </r>
  </si>
  <si>
    <t xml:space="preserve">          销售费用</t>
  </si>
  <si>
    <t>税前利润</t>
  </si>
  <si>
    <t>税后利润</t>
  </si>
  <si>
    <r>
      <rPr>
        <b/>
        <sz val="10"/>
        <color indexed="12"/>
        <rFont val="宋体"/>
        <charset val="134"/>
      </rPr>
      <t>单位毛利</t>
    </r>
    <r>
      <rPr>
        <sz val="10"/>
        <rFont val="Times New Roman"/>
        <charset val="134"/>
      </rPr>
      <t>(</t>
    </r>
    <r>
      <rPr>
        <sz val="10"/>
        <rFont val="宋体"/>
        <charset val="134"/>
      </rPr>
      <t>元/m2)</t>
    </r>
  </si>
  <si>
    <r>
      <rPr>
        <b/>
        <sz val="10"/>
        <color indexed="12"/>
        <rFont val="宋体"/>
        <charset val="134"/>
      </rPr>
      <t>单位净利</t>
    </r>
    <r>
      <rPr>
        <b/>
        <sz val="10"/>
        <color indexed="12"/>
        <rFont val="Times New Roman"/>
        <charset val="134"/>
      </rPr>
      <t>(</t>
    </r>
    <r>
      <rPr>
        <b/>
        <sz val="10"/>
        <color indexed="12"/>
        <rFont val="宋体"/>
        <charset val="134"/>
      </rPr>
      <t>元/m2)</t>
    </r>
  </si>
  <si>
    <r>
      <rPr>
        <b/>
        <sz val="10"/>
        <color indexed="12"/>
        <rFont val="宋体"/>
        <charset val="134"/>
      </rPr>
      <t>销售毛利率</t>
    </r>
    <r>
      <rPr>
        <sz val="10"/>
        <rFont val="Times New Roman"/>
        <charset val="134"/>
      </rPr>
      <t>%</t>
    </r>
  </si>
  <si>
    <r>
      <rPr>
        <b/>
        <sz val="10"/>
        <color indexed="12"/>
        <rFont val="宋体"/>
        <charset val="134"/>
      </rPr>
      <t>销售净利率</t>
    </r>
    <r>
      <rPr>
        <sz val="10"/>
        <rFont val="Times New Roman"/>
        <charset val="134"/>
      </rPr>
      <t>%</t>
    </r>
  </si>
  <si>
    <t>2015年</t>
  </si>
  <si>
    <t>2016年</t>
  </si>
  <si>
    <t>2017年</t>
  </si>
  <si>
    <t>2018年</t>
  </si>
  <si>
    <t>2019年</t>
  </si>
  <si>
    <t>2020年</t>
  </si>
  <si>
    <t>2021年</t>
  </si>
  <si>
    <t>2022年</t>
  </si>
  <si>
    <t>结算收入（不含税）</t>
  </si>
  <si>
    <t>结算成本（不含税）</t>
  </si>
  <si>
    <t xml:space="preserve">    其中：管理费用</t>
  </si>
  <si>
    <t>内容</t>
  </si>
  <si>
    <t>整体清算</t>
  </si>
  <si>
    <t>分期清算（一期）</t>
  </si>
  <si>
    <t>分期清算（二期）</t>
  </si>
  <si>
    <t>分期清算（三期）</t>
  </si>
  <si>
    <t>分期合计</t>
  </si>
  <si>
    <r>
      <rPr>
        <sz val="10"/>
        <rFont val="宋体"/>
        <charset val="134"/>
      </rPr>
      <t>第</t>
    </r>
    <r>
      <rPr>
        <sz val="10"/>
        <rFont val="Times New Roman"/>
        <charset val="134"/>
      </rPr>
      <t>1</t>
    </r>
    <r>
      <rPr>
        <sz val="10"/>
        <rFont val="宋体"/>
        <charset val="134"/>
      </rPr>
      <t>项</t>
    </r>
  </si>
  <si>
    <t>土地</t>
  </si>
  <si>
    <r>
      <rPr>
        <sz val="10"/>
        <rFont val="宋体"/>
        <charset val="134"/>
      </rPr>
      <t>第</t>
    </r>
    <r>
      <rPr>
        <sz val="10"/>
        <rFont val="Times New Roman"/>
        <charset val="134"/>
      </rPr>
      <t>2项</t>
    </r>
  </si>
  <si>
    <t>建安（扣除利息）</t>
  </si>
  <si>
    <r>
      <rPr>
        <sz val="10"/>
        <rFont val="Times New Roman"/>
        <charset val="134"/>
      </rPr>
      <t>1-2</t>
    </r>
    <r>
      <rPr>
        <sz val="10"/>
        <rFont val="宋体"/>
        <charset val="134"/>
      </rPr>
      <t>项合计</t>
    </r>
  </si>
  <si>
    <t>小计</t>
  </si>
  <si>
    <r>
      <rPr>
        <sz val="10"/>
        <rFont val="宋体"/>
        <charset val="134"/>
      </rPr>
      <t>第</t>
    </r>
    <r>
      <rPr>
        <sz val="10"/>
        <rFont val="Times New Roman"/>
        <charset val="134"/>
      </rPr>
      <t>3项</t>
    </r>
  </si>
  <si>
    <t>开发费用</t>
  </si>
  <si>
    <r>
      <rPr>
        <sz val="10"/>
        <rFont val="宋体"/>
        <charset val="134"/>
      </rPr>
      <t>第</t>
    </r>
    <r>
      <rPr>
        <sz val="10"/>
        <rFont val="Times New Roman"/>
        <charset val="134"/>
      </rPr>
      <t>4项</t>
    </r>
  </si>
  <si>
    <r>
      <rPr>
        <sz val="10"/>
        <rFont val="宋体"/>
        <charset val="134"/>
      </rPr>
      <t>第</t>
    </r>
    <r>
      <rPr>
        <sz val="10"/>
        <rFont val="Times New Roman"/>
        <charset val="134"/>
      </rPr>
      <t>5项</t>
    </r>
  </si>
  <si>
    <t>开发商加计</t>
  </si>
  <si>
    <r>
      <rPr>
        <sz val="10"/>
        <rFont val="宋体"/>
        <charset val="134"/>
      </rPr>
      <t>第</t>
    </r>
    <r>
      <rPr>
        <sz val="10"/>
        <rFont val="Times New Roman"/>
        <charset val="134"/>
      </rPr>
      <t>6项</t>
    </r>
  </si>
  <si>
    <t>扣除项合计</t>
  </si>
  <si>
    <t>增值比例</t>
  </si>
  <si>
    <t>增值税清算</t>
  </si>
  <si>
    <t>累进税率</t>
  </si>
  <si>
    <t>预征增值税率</t>
  </si>
  <si>
    <t>预交增值税</t>
  </si>
  <si>
    <t>补缴增值税</t>
  </si>
  <si>
    <t>销售收入增值税比率</t>
  </si>
  <si>
    <t>清算与预征孰高(税率）</t>
  </si>
  <si>
    <t>清算与预征孰高</t>
  </si>
  <si>
    <t>溢价测算</t>
  </si>
  <si>
    <t>敏感性测算1</t>
  </si>
  <si>
    <t>敏感性测算2</t>
  </si>
  <si>
    <t>敏感性测算3</t>
  </si>
  <si>
    <t>节点</t>
  </si>
  <si>
    <t>开始时间</t>
  </si>
  <si>
    <t>结束时间</t>
  </si>
  <si>
    <t>启动时间：</t>
  </si>
  <si>
    <t>基础施工</t>
  </si>
  <si>
    <t>基础出地面</t>
  </si>
  <si>
    <t>结构封顶</t>
  </si>
  <si>
    <t>单体竣工</t>
  </si>
  <si>
    <t>竣工备案</t>
  </si>
  <si>
    <t>交付后6个月</t>
  </si>
  <si>
    <t>主要节点</t>
  </si>
  <si>
    <t>节点需时（月）</t>
  </si>
  <si>
    <t>本期累计时间（月）</t>
  </si>
  <si>
    <t>注意：请填写累计付款比例</t>
  </si>
  <si>
    <t>月份</t>
  </si>
  <si>
    <t>配套及地下室工程费</t>
  </si>
  <si>
    <t>基建及管网工程费</t>
  </si>
  <si>
    <t>室内精装修工程费</t>
  </si>
  <si>
    <t>装饰及环保工程费</t>
  </si>
  <si>
    <t>环境提升工程费</t>
  </si>
  <si>
    <t>开发管理费</t>
  </si>
  <si>
    <t>单方成本</t>
  </si>
  <si>
    <t>不含税</t>
  </si>
  <si>
    <t>关注车位按个数转换</t>
  </si>
  <si>
    <t>土地及政府规费</t>
  </si>
  <si>
    <t>建造成本小计</t>
  </si>
  <si>
    <t>工程款合计</t>
  </si>
  <si>
    <t>资本化利息</t>
  </si>
  <si>
    <t>＿＿＿项目＿＿期分产品类型成本汇总表</t>
  </si>
  <si>
    <t>成本项目</t>
  </si>
  <si>
    <t>可售面积单位成本</t>
  </si>
  <si>
    <t>合计（万元）</t>
  </si>
  <si>
    <t>分摊标准说明</t>
  </si>
  <si>
    <t>整体单方</t>
  </si>
  <si>
    <t>产品单方</t>
  </si>
  <si>
    <t>含税成本</t>
  </si>
  <si>
    <t>成本</t>
  </si>
  <si>
    <t>含税可售单方</t>
  </si>
  <si>
    <t>可售单方</t>
  </si>
  <si>
    <t>进项税单方</t>
  </si>
  <si>
    <t>建筑面积</t>
  </si>
  <si>
    <t>*</t>
  </si>
  <si>
    <t>营改增</t>
  </si>
  <si>
    <t>可售面积/经营面积</t>
  </si>
  <si>
    <t>工业化</t>
  </si>
  <si>
    <t>一</t>
  </si>
  <si>
    <t/>
  </si>
  <si>
    <t>5001.01.01</t>
  </si>
  <si>
    <t>土地获得价款</t>
  </si>
  <si>
    <t>见《地价分摊表》</t>
  </si>
  <si>
    <t>5001.01.02</t>
  </si>
  <si>
    <t>土地溢价</t>
  </si>
  <si>
    <t>勘察</t>
  </si>
  <si>
    <t>配套</t>
  </si>
  <si>
    <t>5001.01.03</t>
  </si>
  <si>
    <t>丈量报建费</t>
  </si>
  <si>
    <t>勘察设计、市政配套</t>
  </si>
  <si>
    <t>二</t>
  </si>
  <si>
    <t>5001.02.01</t>
  </si>
  <si>
    <t>土地属性指标类</t>
  </si>
  <si>
    <t>配套、配电</t>
  </si>
  <si>
    <t>5001.02.02</t>
  </si>
  <si>
    <t>地下室</t>
  </si>
  <si>
    <t>土建</t>
  </si>
  <si>
    <t>5001.02.03</t>
  </si>
  <si>
    <t>土方、地基处理与边坡支护、桩基工程</t>
  </si>
  <si>
    <t>5001.02.04</t>
  </si>
  <si>
    <t>场地平整</t>
  </si>
  <si>
    <t>三</t>
  </si>
  <si>
    <t>5001.03.01</t>
  </si>
  <si>
    <t>结构及粗装修工程</t>
  </si>
  <si>
    <t>直接归属</t>
  </si>
  <si>
    <t>5001.03.02</t>
  </si>
  <si>
    <t>主体安装工程</t>
  </si>
  <si>
    <t>安装</t>
  </si>
  <si>
    <t>5001.03.03</t>
  </si>
  <si>
    <t>室外管网工程</t>
  </si>
  <si>
    <t>市政公用</t>
  </si>
  <si>
    <t>5001.03.04</t>
  </si>
  <si>
    <t>风险费（材料、人工预留）</t>
  </si>
  <si>
    <t>5001.03.05</t>
  </si>
  <si>
    <t>其他</t>
  </si>
  <si>
    <t>四</t>
  </si>
  <si>
    <t>五</t>
  </si>
  <si>
    <t>5001.05.01</t>
  </si>
  <si>
    <t>建筑立面及部品</t>
  </si>
  <si>
    <t>5001.05.02</t>
  </si>
  <si>
    <t xml:space="preserve">公共部位精装修 </t>
  </si>
  <si>
    <t>5001.05.03</t>
  </si>
  <si>
    <t>室内弱电系统</t>
  </si>
  <si>
    <t>5001.05.04</t>
  </si>
  <si>
    <t>环保系统费</t>
  </si>
  <si>
    <t>六</t>
  </si>
  <si>
    <t>5001.06.01</t>
  </si>
  <si>
    <t>土地合同外选择型配套</t>
  </si>
  <si>
    <t>5001.06.02</t>
  </si>
  <si>
    <t>室外智能化系统</t>
  </si>
  <si>
    <t>5001.06.03</t>
  </si>
  <si>
    <t>园林环境工程</t>
  </si>
  <si>
    <t>绿化、道路</t>
  </si>
  <si>
    <t>七</t>
  </si>
  <si>
    <t>5001.07.01</t>
  </si>
  <si>
    <t>规划设计费</t>
  </si>
  <si>
    <t>勘察设计</t>
  </si>
  <si>
    <t>5001.07.02</t>
  </si>
  <si>
    <t>行政管理费</t>
  </si>
  <si>
    <t>管理费</t>
  </si>
  <si>
    <t>5001.07.03</t>
  </si>
  <si>
    <t>工程管理费</t>
  </si>
  <si>
    <t>工程监理</t>
  </si>
  <si>
    <t>5001.07.04</t>
  </si>
  <si>
    <t>营销/租赁设施建造费</t>
  </si>
  <si>
    <t>5001.07.05</t>
  </si>
  <si>
    <t>造价咨询费</t>
  </si>
  <si>
    <t>工程招标评审</t>
  </si>
  <si>
    <t>5001.07.06</t>
  </si>
  <si>
    <t>物业完善费用</t>
  </si>
  <si>
    <t>八</t>
  </si>
  <si>
    <t>开发成本</t>
  </si>
  <si>
    <t>九</t>
  </si>
  <si>
    <t>销售费用</t>
  </si>
  <si>
    <t>财务费用</t>
  </si>
  <si>
    <t>项目总投资</t>
  </si>
  <si>
    <t>总额校核</t>
  </si>
  <si>
    <t>成本对比</t>
  </si>
  <si>
    <r>
      <rPr>
        <b/>
        <sz val="10"/>
        <color indexed="10"/>
        <rFont val="宋体"/>
        <charset val="134"/>
      </rPr>
      <t>成本1:</t>
    </r>
    <r>
      <rPr>
        <sz val="10"/>
        <rFont val="宋体"/>
        <charset val="134"/>
      </rPr>
      <t>地价外成本</t>
    </r>
  </si>
  <si>
    <r>
      <rPr>
        <b/>
        <sz val="10"/>
        <color indexed="10"/>
        <rFont val="宋体"/>
        <charset val="134"/>
      </rPr>
      <t>成本2:</t>
    </r>
    <r>
      <rPr>
        <sz val="10"/>
        <rFont val="宋体"/>
        <charset val="134"/>
      </rPr>
      <t>地价及资本化利息外建造成本</t>
    </r>
  </si>
  <si>
    <r>
      <rPr>
        <b/>
        <sz val="10"/>
        <color indexed="10"/>
        <rFont val="宋体"/>
        <charset val="134"/>
      </rPr>
      <t>成本3:</t>
    </r>
    <r>
      <rPr>
        <sz val="10"/>
        <rFont val="宋体"/>
        <charset val="134"/>
      </rPr>
      <t>装修外产品建造成本</t>
    </r>
  </si>
  <si>
    <r>
      <rPr>
        <b/>
        <sz val="10"/>
        <color indexed="10"/>
        <rFont val="宋体"/>
        <charset val="134"/>
      </rPr>
      <t>成本4:</t>
    </r>
    <r>
      <rPr>
        <sz val="10"/>
        <rFont val="宋体"/>
        <charset val="134"/>
      </rPr>
      <t>持有商业出租面积单方</t>
    </r>
  </si>
  <si>
    <r>
      <rPr>
        <b/>
        <sz val="10"/>
        <color indexed="10"/>
        <rFont val="宋体"/>
        <charset val="134"/>
      </rPr>
      <t>成本5:</t>
    </r>
    <r>
      <rPr>
        <sz val="10"/>
        <rFont val="宋体"/>
        <charset val="134"/>
      </rPr>
      <t>持有酒店平均客房成本</t>
    </r>
  </si>
  <si>
    <t>公摊及期间费用</t>
  </si>
  <si>
    <t>计容积率建筑面积</t>
  </si>
  <si>
    <t>销售物业可售面积
（不含车位）</t>
  </si>
  <si>
    <t>建筑物基底面积</t>
  </si>
  <si>
    <t>地下室基底面积</t>
  </si>
  <si>
    <t>楼栋数</t>
  </si>
  <si>
    <t>户数</t>
  </si>
  <si>
    <t>单元数</t>
  </si>
  <si>
    <t>赠送比例</t>
  </si>
  <si>
    <t>景观面积</t>
  </si>
  <si>
    <t>合同/合约包</t>
  </si>
  <si>
    <t>原始指标</t>
  </si>
  <si>
    <t>消耗量系数</t>
  </si>
  <si>
    <t>系数单位</t>
  </si>
  <si>
    <t>消耗量</t>
  </si>
  <si>
    <t>单价
（元）</t>
  </si>
  <si>
    <t>进项税率（%）</t>
  </si>
  <si>
    <t>成本（万元）</t>
  </si>
  <si>
    <t>进项税总额（万元）</t>
  </si>
  <si>
    <t>含税成本(万元)</t>
  </si>
  <si>
    <t>含税可售单方
（元/M2）</t>
  </si>
  <si>
    <t>销售物业含税合价(万元)</t>
  </si>
  <si>
    <t>丈量及报建费</t>
  </si>
  <si>
    <t>5001.01.02.01</t>
  </si>
  <si>
    <t>1）</t>
  </si>
  <si>
    <t>勘察丈量费</t>
  </si>
  <si>
    <t>5001.01.02.01.01</t>
  </si>
  <si>
    <t>◆</t>
  </si>
  <si>
    <t>地形图购买</t>
  </si>
  <si>
    <t>测量费用/合同包</t>
  </si>
  <si>
    <t>㎡</t>
  </si>
  <si>
    <t>5001.01.02.01.02</t>
  </si>
  <si>
    <t>场地测绘费</t>
  </si>
  <si>
    <t>5001.01.02.01.03</t>
  </si>
  <si>
    <t>宗地成果表</t>
  </si>
  <si>
    <t>5001.01.02.01.04</t>
  </si>
  <si>
    <t>地籍调研费</t>
  </si>
  <si>
    <t>5001.01.02.01.05</t>
  </si>
  <si>
    <t>征地成果费</t>
  </si>
  <si>
    <t>5001.01.02.01.06</t>
  </si>
  <si>
    <t>实测成果费</t>
  </si>
  <si>
    <t>5001.01.02.01.07</t>
  </si>
  <si>
    <t>工程详堪</t>
  </si>
  <si>
    <t>勘察费用/合同包</t>
  </si>
  <si>
    <t>计容面积</t>
  </si>
  <si>
    <t>5001.01.02.01.08</t>
  </si>
  <si>
    <t>定、验线费</t>
  </si>
  <si>
    <t>楼栋</t>
  </si>
  <si>
    <t>5001.01.02.01.09</t>
  </si>
  <si>
    <t>规划红线定位费</t>
  </si>
  <si>
    <t>红线道路长度</t>
  </si>
  <si>
    <t>5001.01.02.01.10</t>
  </si>
  <si>
    <t>面积测量（住宅）</t>
  </si>
  <si>
    <t>5001.01.02.01.11</t>
  </si>
  <si>
    <t>面积测量（商业）</t>
  </si>
  <si>
    <t>5001.01.02.01.12</t>
  </si>
  <si>
    <t>地基沉降观测</t>
  </si>
  <si>
    <t>栋</t>
  </si>
  <si>
    <t>5001.01.02.01.13</t>
  </si>
  <si>
    <t>室内环境检测</t>
  </si>
  <si>
    <t>m2</t>
  </si>
  <si>
    <t>5001.01.02.02</t>
  </si>
  <si>
    <t>2）</t>
  </si>
  <si>
    <t>政府报批报建费</t>
  </si>
  <si>
    <t>5001.01.02.02.01</t>
  </si>
  <si>
    <t>大市政配套费</t>
  </si>
  <si>
    <t>综合报批报建合同/费用包</t>
  </si>
  <si>
    <t>计容建筑面积</t>
  </si>
  <si>
    <t>5001.01.02.02.02</t>
  </si>
  <si>
    <t>给水管贴费</t>
  </si>
  <si>
    <t>建筑面积(m2)</t>
  </si>
  <si>
    <t>5001.01.02.02.03</t>
  </si>
  <si>
    <t>给排水外线工程费</t>
  </si>
  <si>
    <t>开口数量</t>
  </si>
  <si>
    <t>个数</t>
  </si>
  <si>
    <t>5001.01.02.02.04</t>
  </si>
  <si>
    <t>市政道路开口费</t>
  </si>
  <si>
    <t>道路面积</t>
  </si>
  <si>
    <t>5001.01.02.02.05</t>
  </si>
  <si>
    <t>其他配套费</t>
  </si>
  <si>
    <t>5001.01.02.02.06</t>
  </si>
  <si>
    <t>教育配套费</t>
  </si>
  <si>
    <t>5001.01.02.02.07</t>
  </si>
  <si>
    <t>土地证费</t>
  </si>
  <si>
    <t>5001.01.02.02.08</t>
  </si>
  <si>
    <t>项目可研报告</t>
  </si>
  <si>
    <t>项</t>
  </si>
  <si>
    <t>5001.01.02.02.09</t>
  </si>
  <si>
    <t>环卫接管费</t>
  </si>
  <si>
    <t>5001.01.02.02.10</t>
  </si>
  <si>
    <t>墙体材料专项基金</t>
  </si>
  <si>
    <t>5001.01.02.02.11</t>
  </si>
  <si>
    <t>散装水泥专项基金</t>
  </si>
  <si>
    <t>5001.01.02.02.12</t>
  </si>
  <si>
    <t>工程招投标交易服务费</t>
  </si>
  <si>
    <t>次</t>
  </si>
  <si>
    <t>5001.01.02.02.13</t>
  </si>
  <si>
    <t>工程招投标代理服务费</t>
  </si>
  <si>
    <t>5001.01.02.02.14</t>
  </si>
  <si>
    <t>工程交易费</t>
  </si>
  <si>
    <t>5001.01.02.02.15</t>
  </si>
  <si>
    <t>人防易地建设费</t>
  </si>
  <si>
    <t>人防异地建设费</t>
  </si>
  <si>
    <t>人防面积</t>
  </si>
  <si>
    <t>5001.01.02.02.16</t>
  </si>
  <si>
    <t>渣土外排及协调费</t>
  </si>
  <si>
    <t>土方量</t>
  </si>
  <si>
    <t>m3</t>
  </si>
  <si>
    <t>5001.01.02.02.17</t>
  </si>
  <si>
    <t>消防报警连网费</t>
  </si>
  <si>
    <t>5001.01.02.02.18</t>
  </si>
  <si>
    <t>地震安全性评价</t>
  </si>
  <si>
    <t>四大类评估合同/费用</t>
  </si>
  <si>
    <t>5001.01.02.02.19</t>
  </si>
  <si>
    <t>抗震设计审查</t>
  </si>
  <si>
    <t>审图合同/费用包</t>
  </si>
  <si>
    <t>5001.01.02.02.20</t>
  </si>
  <si>
    <t>规划技术服务费</t>
  </si>
  <si>
    <t>5001.01.02.02.21</t>
  </si>
  <si>
    <t>市政工程施工图审查费</t>
  </si>
  <si>
    <t>5001.01.02.02.22</t>
  </si>
  <si>
    <t>档案整理综合服务费</t>
  </si>
  <si>
    <t>5001.01.02.02.23</t>
  </si>
  <si>
    <t>环境影响评估</t>
  </si>
  <si>
    <t>5001.01.02.02.24</t>
  </si>
  <si>
    <t>建筑节能评估费</t>
  </si>
  <si>
    <t>5001.01.02.02.25</t>
  </si>
  <si>
    <t>项目交通影响评价</t>
  </si>
  <si>
    <t>5001.01.02.02.26</t>
  </si>
  <si>
    <t>消防审查费</t>
  </si>
  <si>
    <t>5001.01.02.02.27</t>
  </si>
  <si>
    <t>商业项目开业前后统一消防验收费</t>
  </si>
  <si>
    <t>5001.01.02.02.28</t>
  </si>
  <si>
    <t>施工图审查费</t>
  </si>
  <si>
    <t>5001.01.02.02.29</t>
  </si>
  <si>
    <t>人防施工图审查费</t>
  </si>
  <si>
    <t>5001.01.02.02.30</t>
  </si>
  <si>
    <t>防雷检测及验收费</t>
  </si>
  <si>
    <t>5001.01.02.02.31</t>
  </si>
  <si>
    <t>防雷评估费</t>
  </si>
  <si>
    <t>总投资额</t>
  </si>
  <si>
    <t>元</t>
  </si>
  <si>
    <t>5001.01.02.02.32</t>
  </si>
  <si>
    <t>产权登记费（住宅）</t>
  </si>
  <si>
    <t>5001.01.02.02.33</t>
  </si>
  <si>
    <t>大产权公告费</t>
  </si>
  <si>
    <t>5001.01.02.02.34</t>
  </si>
  <si>
    <t>产权交易服务费（住宅）</t>
  </si>
  <si>
    <t>5001.01.02.02.35</t>
  </si>
  <si>
    <t>产权交易服务费（商业）</t>
  </si>
  <si>
    <t>5001.01.02.02.36</t>
  </si>
  <si>
    <t>预售证网络维护费</t>
  </si>
  <si>
    <t>5001.01.02.02.37</t>
  </si>
  <si>
    <t>门牌号</t>
  </si>
  <si>
    <t>户数、单元数</t>
  </si>
  <si>
    <t>5001.01.02.02.38</t>
  </si>
  <si>
    <t>治安、街道接管费</t>
  </si>
  <si>
    <t>5001.01.02.02.39</t>
  </si>
  <si>
    <t>预售证公示费</t>
  </si>
  <si>
    <t>次数</t>
  </si>
  <si>
    <t>5001.01.02.02.40</t>
  </si>
  <si>
    <t>白蚁防治费</t>
  </si>
  <si>
    <t>5001.01.02.02.41</t>
  </si>
  <si>
    <t>管线规划许可证规费</t>
  </si>
  <si>
    <t>5001.01.02.02.42</t>
  </si>
  <si>
    <t>其他报建费或专家费等</t>
  </si>
  <si>
    <t>5001.01.02.03</t>
  </si>
  <si>
    <t>3）</t>
  </si>
  <si>
    <t>增容费</t>
  </si>
  <si>
    <t>5001.01.02.03.01</t>
  </si>
  <si>
    <t>水增容费</t>
  </si>
  <si>
    <t>5001.01.02.03.02</t>
  </si>
  <si>
    <t>电增容费</t>
  </si>
  <si>
    <t>5001.01.02.03.03</t>
  </si>
  <si>
    <t>燃气增容费</t>
  </si>
  <si>
    <t>5001.02.01.01</t>
  </si>
  <si>
    <t>市政设施用房</t>
  </si>
  <si>
    <t>5001.02.01.02</t>
  </si>
  <si>
    <t>配电房</t>
  </si>
  <si>
    <t>土建总承包工程合同</t>
  </si>
  <si>
    <t>5001.02.01.03</t>
  </si>
  <si>
    <t>物业管理用房</t>
  </si>
  <si>
    <t>5001.02.01.04</t>
  </si>
  <si>
    <t>4）</t>
  </si>
  <si>
    <t>物业管理用房装修</t>
  </si>
  <si>
    <t>5001.02.01.05</t>
  </si>
  <si>
    <t>5）</t>
  </si>
  <si>
    <t>教育设施建设及引入</t>
  </si>
  <si>
    <t>5001.02.01.05.01</t>
  </si>
  <si>
    <t>幼儿园</t>
  </si>
  <si>
    <t>5001.02.01.05.02</t>
  </si>
  <si>
    <t>学校</t>
  </si>
  <si>
    <t>5001.02.01.06</t>
  </si>
  <si>
    <t>6）</t>
  </si>
  <si>
    <t>体育运动设施建设及引入</t>
  </si>
  <si>
    <t>5001.02.01.07</t>
  </si>
  <si>
    <t>7）</t>
  </si>
  <si>
    <t>交通设施建设及引入</t>
  </si>
  <si>
    <t>5001.02.01.08</t>
  </si>
  <si>
    <t>8）</t>
  </si>
  <si>
    <t>社区服务用房</t>
  </si>
  <si>
    <t>5001.02.01.09</t>
  </si>
  <si>
    <t>9）</t>
  </si>
  <si>
    <t>设备房</t>
  </si>
  <si>
    <t>地下室（地下地上以室内±0标高为分界线）</t>
  </si>
  <si>
    <t>5001.02.02.01</t>
  </si>
  <si>
    <t>人防地下室</t>
  </si>
  <si>
    <t>5001.02.02.01.01</t>
  </si>
  <si>
    <t>可售物业的人防地下室</t>
  </si>
  <si>
    <t>5001.02.02.01.02</t>
  </si>
  <si>
    <t>持有物业配套的人防地下室</t>
  </si>
  <si>
    <t>5001.02.02.02</t>
  </si>
  <si>
    <t>人防设施设备费</t>
  </si>
  <si>
    <t>5001.02.02.02.01</t>
  </si>
  <si>
    <t>可售物业的人防地下室（设备费）</t>
  </si>
  <si>
    <t>5001.02.02.02.02</t>
  </si>
  <si>
    <t>持有物业的人防地下室（设备费）</t>
  </si>
  <si>
    <t>人防设备供货及安装合同</t>
  </si>
  <si>
    <t>5001.02.02.03</t>
  </si>
  <si>
    <t>非人防公共车库分摊</t>
  </si>
  <si>
    <t>5001.02.02.03.01</t>
  </si>
  <si>
    <t>可售物业的人防地下室（非人防分摊）</t>
  </si>
  <si>
    <t>5001.02.02.03.02</t>
  </si>
  <si>
    <t>自行车库、储藏室</t>
  </si>
  <si>
    <t>5001.02.02.04</t>
  </si>
  <si>
    <t>机械停车设备及安装</t>
  </si>
  <si>
    <t>个</t>
  </si>
  <si>
    <t>5001.02.03.01</t>
  </si>
  <si>
    <t>土方工程（公摊）</t>
  </si>
  <si>
    <t>5001.02.03.01.01</t>
  </si>
  <si>
    <t>土方挖运</t>
  </si>
  <si>
    <t>土石方工程施工合同</t>
  </si>
  <si>
    <t>m3/m2</t>
  </si>
  <si>
    <t>5001.02.03.01.02</t>
  </si>
  <si>
    <t>基坑边土方回填</t>
  </si>
  <si>
    <t>5001.02.03.01.03</t>
  </si>
  <si>
    <t>地下室顶板回填</t>
  </si>
  <si>
    <t>5001.02.03.02</t>
  </si>
  <si>
    <t>护壁护坡</t>
  </si>
  <si>
    <t>5001.02.03.02.01</t>
  </si>
  <si>
    <t>核心筒单独支护</t>
  </si>
  <si>
    <t>支护长度（m)</t>
  </si>
  <si>
    <t>m</t>
  </si>
  <si>
    <t>5001.02.03.02.02</t>
  </si>
  <si>
    <t>基坑/边坡支护</t>
  </si>
  <si>
    <t>基坑/边坡支护工程合同</t>
  </si>
  <si>
    <t>5001.02.03.02.03</t>
  </si>
  <si>
    <t>基坑/边坡监测</t>
  </si>
  <si>
    <t>基坑/边坡监测工程合同</t>
  </si>
  <si>
    <t>5001.02.03.03</t>
  </si>
  <si>
    <t>特殊地基处理</t>
  </si>
  <si>
    <t>5001.02.03.03.01</t>
  </si>
  <si>
    <t>特殊处理（引自跨期）</t>
  </si>
  <si>
    <t>5001.02.03.04</t>
  </si>
  <si>
    <t>降水</t>
  </si>
  <si>
    <t>桩基础工程合同</t>
  </si>
  <si>
    <t>5001.02.03.05</t>
  </si>
  <si>
    <t>桩基工程</t>
  </si>
  <si>
    <t>5001.02.03.05.01</t>
  </si>
  <si>
    <t>预制混凝土桩</t>
  </si>
  <si>
    <t>5001.02.03.05.01.01</t>
  </si>
  <si>
    <t xml:space="preserve">      预制混凝土桩（600）</t>
  </si>
  <si>
    <r>
      <rPr>
        <sz val="9"/>
        <rFont val="宋体"/>
        <charset val="134"/>
      </rPr>
      <t>m</t>
    </r>
    <r>
      <rPr>
        <sz val="9"/>
        <rFont val="宋体"/>
        <charset val="134"/>
      </rPr>
      <t>2</t>
    </r>
  </si>
  <si>
    <t>5001.02.03.05.01.02</t>
  </si>
  <si>
    <t xml:space="preserve">      预制混凝土桩（500）</t>
  </si>
  <si>
    <t>5001.02.03.05.01.03</t>
  </si>
  <si>
    <t>桩基施工前塔楼开挖</t>
  </si>
  <si>
    <t>基底面积</t>
  </si>
  <si>
    <t>5001.02.03.05.01.04</t>
  </si>
  <si>
    <t>桩基施工前塔楼换填</t>
  </si>
  <si>
    <t>5001.02.03.05.02</t>
  </si>
  <si>
    <t>其它（桩基础）</t>
  </si>
  <si>
    <t>5001.02.03.05.03</t>
  </si>
  <si>
    <t>桩基检测费</t>
  </si>
  <si>
    <t>桩基础工程检测合同</t>
  </si>
  <si>
    <t>5001.02.04.01</t>
  </si>
  <si>
    <t>场地土方平整</t>
  </si>
  <si>
    <t>5001.02.04.02</t>
  </si>
  <si>
    <t>旧房拆除</t>
  </si>
  <si>
    <t>场地平整合同</t>
  </si>
  <si>
    <t>5001.03</t>
  </si>
  <si>
    <t>5001.03.03.01</t>
  </si>
  <si>
    <t>室外给排水系统费</t>
  </si>
  <si>
    <t>5001.03.03.01.01</t>
  </si>
  <si>
    <t>室外给水系统</t>
  </si>
  <si>
    <t>室外给（排）水工程合同</t>
  </si>
  <si>
    <t>5001.03.03.01.02</t>
  </si>
  <si>
    <t>地下室至水表箱段给水管道施工</t>
  </si>
  <si>
    <t>5001.03.03.01.03</t>
  </si>
  <si>
    <t>室外雨污水系统</t>
  </si>
  <si>
    <t>5001.03.03.01.04</t>
  </si>
  <si>
    <t>雨水回收</t>
  </si>
  <si>
    <t>5001.03.03.01.05</t>
  </si>
  <si>
    <t>室外管材采购</t>
  </si>
  <si>
    <t>5001.03.03.01.05.01</t>
  </si>
  <si>
    <t>室外管材采购（甲供）</t>
  </si>
  <si>
    <t>PPR、PVC、UPVC管采购合同</t>
  </si>
  <si>
    <t>5001.03.03.01.05.02</t>
  </si>
  <si>
    <t>室外管材采购（甲指乙供）</t>
  </si>
  <si>
    <t>5001.03.03.01.06</t>
  </si>
  <si>
    <t>室外设备采购</t>
  </si>
  <si>
    <t>5001.03.03.01.06.01</t>
  </si>
  <si>
    <t>室外设备采购（甲供）</t>
  </si>
  <si>
    <t>5001.03.03.01.06.02</t>
  </si>
  <si>
    <t>室外设备采购（甲指乙供）</t>
  </si>
  <si>
    <t>5001.03.03.02</t>
  </si>
  <si>
    <t>室外采暖系统费</t>
  </si>
  <si>
    <t>5001.03.03.02.01</t>
  </si>
  <si>
    <t>管道系统（室外采暖）</t>
  </si>
  <si>
    <t>热力外网供货及施工合同</t>
  </si>
  <si>
    <t>5001.03.03.02.02</t>
  </si>
  <si>
    <t>热交换站设备及安装</t>
  </si>
  <si>
    <t>5001.03.03.02.03</t>
  </si>
  <si>
    <t>锅炉房设备及安装</t>
  </si>
  <si>
    <t>5001.03.03.03</t>
  </si>
  <si>
    <t>室外燃气系统</t>
  </si>
  <si>
    <t>5001.03.03.03.01</t>
  </si>
  <si>
    <t>管道系统（室外燃气）</t>
  </si>
  <si>
    <t>燃气施工合同</t>
  </si>
  <si>
    <t>5001.03.03.03.01.01</t>
  </si>
  <si>
    <t>内管建设费</t>
  </si>
  <si>
    <t>5001.03.03.03.01.02</t>
  </si>
  <si>
    <t>燃气接表费</t>
  </si>
  <si>
    <t>5001.03.03.03.01.03</t>
  </si>
  <si>
    <t>精装修贴费</t>
  </si>
  <si>
    <t>5001.03.03.03.01.04</t>
  </si>
  <si>
    <t>中压管道及设备</t>
  </si>
  <si>
    <t>5001.03.03.03.02</t>
  </si>
  <si>
    <t>调压站/箱设备及安装</t>
  </si>
  <si>
    <t>5001.03.03.04</t>
  </si>
  <si>
    <t>室外电气及高低压设备费</t>
  </si>
  <si>
    <t>5001.03.03.04.01</t>
  </si>
  <si>
    <t>高低压配电设备及安装</t>
  </si>
  <si>
    <t>高低压配电供货及安装工程施工合同</t>
  </si>
  <si>
    <t>5001.03.03.04.02</t>
  </si>
  <si>
    <t>气体灭火系统</t>
  </si>
  <si>
    <t>消防工程施工合同</t>
  </si>
  <si>
    <t>5001.03.03.04.03</t>
  </si>
  <si>
    <t>发电机及其安装费</t>
  </si>
  <si>
    <t>柴油发电机组供货及安装合同</t>
  </si>
  <si>
    <t>5001.03.03.04.04</t>
  </si>
  <si>
    <t>室外强电管道施工</t>
  </si>
  <si>
    <t>5001.03.03.04.05</t>
  </si>
  <si>
    <t>室外高压电缆敷设</t>
  </si>
  <si>
    <t>5001.03.03.04.06</t>
  </si>
  <si>
    <t>室外低压电缆敷设</t>
  </si>
  <si>
    <t>5001.03.03.04.07</t>
  </si>
  <si>
    <t>室外低压电缆甲供材</t>
  </si>
  <si>
    <t>电线电缆供货合同</t>
  </si>
  <si>
    <t>5001.03.03.04.08</t>
  </si>
  <si>
    <t>室外弱电管道埋设</t>
  </si>
  <si>
    <r>
      <rPr>
        <sz val="9"/>
        <rFont val="宋体"/>
        <charset val="134"/>
      </rPr>
      <t>㎡</t>
    </r>
  </si>
  <si>
    <t>基建及管网工程费其他</t>
  </si>
  <si>
    <t>5001.06</t>
  </si>
  <si>
    <t>5001.06.01.01</t>
  </si>
  <si>
    <t>游泳池</t>
  </si>
  <si>
    <t>5001.06.01.01.01</t>
  </si>
  <si>
    <t>泳池结构</t>
  </si>
  <si>
    <t>泳池面积</t>
  </si>
  <si>
    <t>5001.06.01.01.02</t>
  </si>
  <si>
    <t>泳池装饰</t>
  </si>
  <si>
    <t>景观工程施工合同</t>
  </si>
  <si>
    <t>5001.06.01.01.03</t>
  </si>
  <si>
    <t>泳池设备</t>
  </si>
  <si>
    <t>泳池设备工程合同</t>
  </si>
  <si>
    <t>5001.06.01.02</t>
  </si>
  <si>
    <t>会所</t>
  </si>
  <si>
    <t>5001.06.01.02.01</t>
  </si>
  <si>
    <t>会所结构</t>
  </si>
  <si>
    <t>5001.06.01.02.02</t>
  </si>
  <si>
    <t>会所外装饰施工</t>
  </si>
  <si>
    <t>5001.06.01.02.03</t>
  </si>
  <si>
    <t>会所内装饰施工</t>
  </si>
  <si>
    <t>5001.06.01.03</t>
  </si>
  <si>
    <t>运动配套</t>
  </si>
  <si>
    <t>5001.06.01.04</t>
  </si>
  <si>
    <t>教育配套</t>
  </si>
  <si>
    <t>5001.06.01.05</t>
  </si>
  <si>
    <t>交通配套</t>
  </si>
  <si>
    <t>5001.06.01.06</t>
  </si>
  <si>
    <t>架空层</t>
  </si>
  <si>
    <t>5001.06.01.06.01</t>
  </si>
  <si>
    <t>架空层结构</t>
  </si>
  <si>
    <t>5001.06.01.06.02</t>
  </si>
  <si>
    <t>架空层外装饰施工</t>
  </si>
  <si>
    <t>5001.06.01.06.03</t>
  </si>
  <si>
    <t>架空层外装饰甲供材</t>
  </si>
  <si>
    <t>5001.06.01.06.04</t>
  </si>
  <si>
    <t>架空层内装饰施工</t>
  </si>
  <si>
    <t>5001.06.01.07</t>
  </si>
  <si>
    <t>地块周边外共享景观</t>
  </si>
  <si>
    <t>5001.06.01.07.01</t>
  </si>
  <si>
    <t>景观工程</t>
  </si>
  <si>
    <t>地块周边景观面积</t>
  </si>
  <si>
    <t>5001.06.01.08</t>
  </si>
  <si>
    <t>其它(土地合同外选择型配套)</t>
  </si>
  <si>
    <t>5001.06.02.01</t>
  </si>
  <si>
    <t>停车管理系统</t>
  </si>
  <si>
    <t>智能化工程施工合同</t>
  </si>
  <si>
    <t>出入口数量</t>
  </si>
  <si>
    <t>套</t>
  </si>
  <si>
    <t>5001.06.02.02</t>
  </si>
  <si>
    <t>小区闭路监控系统</t>
  </si>
  <si>
    <t>5001.06.02.03</t>
  </si>
  <si>
    <t>周界红外防越</t>
  </si>
  <si>
    <t>5001.06.02.04</t>
  </si>
  <si>
    <t>小区门禁系统</t>
  </si>
  <si>
    <t>5001.06.02.05</t>
  </si>
  <si>
    <t>电子巡更系统</t>
  </si>
  <si>
    <t>5001.06.02.06</t>
  </si>
  <si>
    <t>电子公告屏</t>
  </si>
  <si>
    <t>5001.06.02.07</t>
  </si>
  <si>
    <t>室外背景音乐</t>
  </si>
  <si>
    <t>5001.06.03.01</t>
  </si>
  <si>
    <t>绿化建设费</t>
  </si>
  <si>
    <t>5001.06.03.01.01</t>
  </si>
  <si>
    <t>示范区景观</t>
  </si>
  <si>
    <t>5001.06.03.01.02</t>
  </si>
  <si>
    <t>费示范区景观</t>
  </si>
  <si>
    <t>绿化面积</t>
  </si>
  <si>
    <t>m2/m2</t>
  </si>
  <si>
    <t>5001.06.03.01.03</t>
  </si>
  <si>
    <t>地被</t>
  </si>
  <si>
    <t>5001.06.03.01.04</t>
  </si>
  <si>
    <t>种植土</t>
  </si>
  <si>
    <t>5001.06.03.02</t>
  </si>
  <si>
    <t>2)</t>
  </si>
  <si>
    <t>建筑小品</t>
  </si>
  <si>
    <t>5001.06.03.02.01</t>
  </si>
  <si>
    <t>雕塑</t>
  </si>
  <si>
    <t>室外部品供货合同</t>
  </si>
  <si>
    <t>5001.06.03.02.02</t>
  </si>
  <si>
    <t>水景</t>
  </si>
  <si>
    <t>水景面积</t>
  </si>
  <si>
    <t>5001.06.03.02.03</t>
  </si>
  <si>
    <t>景观构件（非景观单位施工类）</t>
  </si>
  <si>
    <t>5001.06.03.03</t>
  </si>
  <si>
    <t>3)</t>
  </si>
  <si>
    <t>道路及广场建设费</t>
  </si>
  <si>
    <t>5001.06.03.03.01</t>
  </si>
  <si>
    <t>沥青(砼)路面车行道</t>
  </si>
  <si>
    <t>5001.06.03.03.02</t>
  </si>
  <si>
    <t>露天停车位</t>
  </si>
  <si>
    <t>5001.06.03.03.03</t>
  </si>
  <si>
    <t>隐形消防车道及登高面</t>
  </si>
  <si>
    <t>5001.06.03.03.04</t>
  </si>
  <si>
    <t>天然水景面积处理</t>
  </si>
  <si>
    <t>5001.06.03.03.05</t>
  </si>
  <si>
    <t>园路广场面积</t>
  </si>
  <si>
    <t>5001.06.03.03.06</t>
  </si>
  <si>
    <t>人行道面积</t>
  </si>
  <si>
    <t>5001.06.03.03.07</t>
  </si>
  <si>
    <t>景观设施面积</t>
  </si>
  <si>
    <t>5001.06.03.03.08</t>
  </si>
  <si>
    <t>土方堆坡造型</t>
  </si>
  <si>
    <t>5001.06.03.04</t>
  </si>
  <si>
    <t>4)</t>
  </si>
  <si>
    <t>围墙建造费</t>
  </si>
  <si>
    <t>5001.06.03.04.01</t>
  </si>
  <si>
    <t>组团围墙</t>
  </si>
  <si>
    <t>5001.06.03.04.02</t>
  </si>
  <si>
    <t>小区围墙</t>
  </si>
  <si>
    <t>围墙长度</t>
  </si>
  <si>
    <t>5001.06.03.05</t>
  </si>
  <si>
    <t>5)</t>
  </si>
  <si>
    <t>室外景观水电</t>
  </si>
  <si>
    <t>5001.06.03.05.01</t>
  </si>
  <si>
    <t>室外景观水</t>
  </si>
  <si>
    <t>占地面积-基底</t>
  </si>
  <si>
    <t>5001.06.03.05.02</t>
  </si>
  <si>
    <t>室外景观电</t>
  </si>
  <si>
    <t>5001.06.03.06</t>
  </si>
  <si>
    <t>6)</t>
  </si>
  <si>
    <t>室外零星设施</t>
  </si>
  <si>
    <t>5001.06.03.06.01</t>
  </si>
  <si>
    <t>成人健身体育设施、儿童游乐设施</t>
  </si>
  <si>
    <t>5001.06.03.06.03</t>
  </si>
  <si>
    <t>指示牌、交通标识系统</t>
  </si>
  <si>
    <t>小区标识供货及安装工程合同</t>
  </si>
  <si>
    <t>5001.06.03.06.05</t>
  </si>
  <si>
    <t>垃圾桶、桌椅、阳伞等</t>
  </si>
  <si>
    <t>5001.07</t>
  </si>
  <si>
    <t>5001.07.01.01</t>
  </si>
  <si>
    <t>1)</t>
  </si>
  <si>
    <t>概念及方案设计</t>
  </si>
  <si>
    <t>方案设计合同</t>
  </si>
  <si>
    <t>5001.07.01.02</t>
  </si>
  <si>
    <t>规划及扩初设计</t>
  </si>
  <si>
    <t>5001.07.01.03</t>
  </si>
  <si>
    <t>主体施工图设计</t>
  </si>
  <si>
    <t>扩初及施工图设计合同</t>
  </si>
  <si>
    <t>5001.07.01.04</t>
  </si>
  <si>
    <t>景观方案及施工图设计</t>
  </si>
  <si>
    <t>景观施工图设计合同</t>
  </si>
  <si>
    <t>5001.07.01.05</t>
  </si>
  <si>
    <t>专项方案深化设计费用</t>
  </si>
  <si>
    <t>5001.07.01.06</t>
  </si>
  <si>
    <t>建筑研究用房</t>
  </si>
  <si>
    <t>5001.07.01.07</t>
  </si>
  <si>
    <t>7)</t>
  </si>
  <si>
    <t>方案专家评审费</t>
  </si>
  <si>
    <t>5001.07.01.08</t>
  </si>
  <si>
    <t>8)</t>
  </si>
  <si>
    <t>图纸外审及优化咨询费</t>
  </si>
  <si>
    <t>结构技术咨询服务合同包</t>
  </si>
  <si>
    <t>建筑面积+赠送</t>
  </si>
  <si>
    <t>5001.07.01.09</t>
  </si>
  <si>
    <t>9)</t>
  </si>
  <si>
    <t>市场咨询费</t>
  </si>
  <si>
    <t>市场咨询费/合同包</t>
  </si>
  <si>
    <t>5001.07.01.10</t>
  </si>
  <si>
    <t>10)</t>
  </si>
  <si>
    <t>其它费用（晒图等）</t>
  </si>
  <si>
    <t>晒图费用/合同包</t>
  </si>
  <si>
    <t>5001.07.01.11</t>
  </si>
  <si>
    <t>11)</t>
  </si>
  <si>
    <t>模型制作费</t>
  </si>
  <si>
    <t>工作模型制作安装合同</t>
  </si>
  <si>
    <t>月·人/m2</t>
  </si>
  <si>
    <t>5001.07.03.01</t>
  </si>
  <si>
    <t>工程监理费</t>
  </si>
  <si>
    <t>工程建设监理服务合同</t>
  </si>
  <si>
    <t>5001.07.03.02</t>
  </si>
  <si>
    <t>工程质量监督费</t>
  </si>
  <si>
    <t>第三方评估合同</t>
  </si>
  <si>
    <t>5001.07.03.03</t>
  </si>
  <si>
    <t>安全监督费</t>
  </si>
  <si>
    <t>5001.07.03.04</t>
  </si>
  <si>
    <t>施工合同外奖金</t>
  </si>
  <si>
    <t>5001.07.03.05</t>
  </si>
  <si>
    <t>建造技术服务费</t>
  </si>
  <si>
    <t>5001.07.03.06</t>
  </si>
  <si>
    <t>工程保险费</t>
  </si>
  <si>
    <t>建筑工程一切险投保单</t>
  </si>
  <si>
    <t>5001.07.03.07</t>
  </si>
  <si>
    <t>临时设施费</t>
  </si>
  <si>
    <t>5001.07.03.07.01</t>
  </si>
  <si>
    <t>临时围墙</t>
  </si>
  <si>
    <t>其他临时设施合同包</t>
  </si>
  <si>
    <t>5001.07.03.07.02</t>
  </si>
  <si>
    <t>临时办公室</t>
  </si>
  <si>
    <t>5001.07.03.07.03</t>
  </si>
  <si>
    <t>临时场地占用费</t>
  </si>
  <si>
    <t>5001.07.03.07.04</t>
  </si>
  <si>
    <t>临时围板</t>
  </si>
  <si>
    <t>5001.07.03.07.04.01</t>
  </si>
  <si>
    <t>工程临时围板</t>
  </si>
  <si>
    <t>工程临时钢围板施工合同</t>
  </si>
  <si>
    <t>5001.07.03.07.05</t>
  </si>
  <si>
    <t>临时道路</t>
  </si>
  <si>
    <t>5001.07.03.07.06</t>
  </si>
  <si>
    <t>临时用电</t>
  </si>
  <si>
    <t>临电施工工程合同</t>
  </si>
  <si>
    <t>5001.07.03.07.07</t>
  </si>
  <si>
    <t>临时用水</t>
  </si>
  <si>
    <t>临水施工工程合同</t>
  </si>
  <si>
    <t>5001.07.04.01</t>
  </si>
  <si>
    <t>卖场费用</t>
  </si>
  <si>
    <t>5001.07.04.01.01</t>
  </si>
  <si>
    <t>场地 建造/租赁费用（卖场）</t>
  </si>
  <si>
    <t>卖场大类包</t>
  </si>
  <si>
    <t>卖场建筑面积</t>
  </si>
  <si>
    <t>5001.07.04.01.02</t>
  </si>
  <si>
    <t>外装饰费用（卖场）</t>
  </si>
  <si>
    <t>5001.07.04.01.03</t>
  </si>
  <si>
    <t>设计（含室内外）费用（卖场）</t>
  </si>
  <si>
    <t>5001.07.04.01.04</t>
  </si>
  <si>
    <t>室内硬装费用（卖场）</t>
  </si>
  <si>
    <t>5001.07.04.01.05</t>
  </si>
  <si>
    <t>室内软装费用（卖场）</t>
  </si>
  <si>
    <t>5001.07.04.01.06</t>
  </si>
  <si>
    <t>设备费用（卖场）</t>
  </si>
  <si>
    <t>5001.07.04.02</t>
  </si>
  <si>
    <t>样板间费用</t>
  </si>
  <si>
    <t>样板间大类包</t>
  </si>
  <si>
    <t>5001.07.04.02.01</t>
  </si>
  <si>
    <t>场地 建造/租赁费用（样板间）</t>
  </si>
  <si>
    <t>样板房面积</t>
  </si>
  <si>
    <t>5001.07.04.02.02</t>
  </si>
  <si>
    <t>外装饰费用（样板间）</t>
  </si>
  <si>
    <t>5001.07.04.02.03</t>
  </si>
  <si>
    <t>设计（含室内外）费用（样板间）</t>
  </si>
  <si>
    <t>5001.07.04.02.04</t>
  </si>
  <si>
    <t>室内硬装费用（样板间）</t>
  </si>
  <si>
    <t>5001.07.04.02.05</t>
  </si>
  <si>
    <t>室内软装费用（样板间）</t>
  </si>
  <si>
    <t>5001.07.04.02.06</t>
  </si>
  <si>
    <t>设备费用（样板间）</t>
  </si>
  <si>
    <t>5001.07.04.03</t>
  </si>
  <si>
    <t>销售环境改造费</t>
  </si>
  <si>
    <t>销售环境大类包</t>
  </si>
  <si>
    <t>5001.07.04.03.01</t>
  </si>
  <si>
    <t>场地 建造/租赁费用（销售环境）</t>
  </si>
  <si>
    <t>5001.07.04.03.02</t>
  </si>
  <si>
    <t>外装饰费用（销售环境）</t>
  </si>
  <si>
    <t>5001.07.04.04</t>
  </si>
  <si>
    <t>维护费用</t>
  </si>
  <si>
    <t>销售维护大类包</t>
  </si>
  <si>
    <t>5001.07.04.04.01</t>
  </si>
  <si>
    <t>场地 建造/租赁费用（维护）</t>
  </si>
  <si>
    <t>5001.07.04.04.02</t>
  </si>
  <si>
    <t>外装饰费用（维护）</t>
  </si>
  <si>
    <t>造价咨询服务合同</t>
  </si>
  <si>
    <t>归0项</t>
  </si>
  <si>
    <t>非人防地下</t>
  </si>
  <si>
    <t>5001.07.06.01</t>
  </si>
  <si>
    <t>专项维修基金</t>
  </si>
  <si>
    <t>5001.07.06.02</t>
  </si>
  <si>
    <t>物业前期介入费用</t>
  </si>
  <si>
    <t>物业服务费合同</t>
  </si>
  <si>
    <t>5001.07.06.03</t>
  </si>
  <si>
    <t>开荒保洁费</t>
  </si>
  <si>
    <t>5001.07.06.04</t>
  </si>
  <si>
    <t>维修组（返修办）人员费用</t>
  </si>
  <si>
    <t>5001.07.06.05</t>
  </si>
  <si>
    <t>外委第三方模拟验收费用</t>
  </si>
  <si>
    <t>5001.07.06.06</t>
  </si>
  <si>
    <t>入伙前整改费</t>
  </si>
  <si>
    <t>5001.07.06.07</t>
  </si>
  <si>
    <t>物业完善—其他</t>
  </si>
  <si>
    <t>5001.08</t>
  </si>
  <si>
    <t>引自跨期</t>
  </si>
  <si>
    <t>5001.08.01</t>
  </si>
  <si>
    <t>企业借款利息支出</t>
  </si>
  <si>
    <t>5001.08.02</t>
  </si>
  <si>
    <t>资金中心借款利息支出</t>
  </si>
  <si>
    <t>5001.08.03</t>
  </si>
  <si>
    <t>金融借款利息支出</t>
  </si>
  <si>
    <t>引自跨期成本</t>
  </si>
  <si>
    <t>深航项目全期规划指标</t>
  </si>
  <si>
    <t>总占地面积</t>
  </si>
  <si>
    <t>建筑用地面积</t>
  </si>
  <si>
    <t>总建筑面积</t>
  </si>
  <si>
    <t>建筑密度</t>
  </si>
  <si>
    <t>绿地率</t>
  </si>
  <si>
    <t>车行道面积合计</t>
  </si>
  <si>
    <t>地块周边景观</t>
  </si>
  <si>
    <t>景观面积合计（不含庭院）</t>
  </si>
  <si>
    <t>绿地面积</t>
  </si>
  <si>
    <t>天然水景面积</t>
  </si>
  <si>
    <t>硬底水景面积</t>
  </si>
  <si>
    <t>室外泳池面积</t>
  </si>
  <si>
    <t>别墅庭院占地面积</t>
  </si>
  <si>
    <t>总占地面积=建筑用地面积-代征用地面积(若无待征用地，则总占地面积=建筑用地面积，即用地红线面积)</t>
  </si>
  <si>
    <t>建筑密度=建筑物基底面积/建筑用地面积（建筑密度指建筑物覆盖率，反映出一定用地范围内的空地率和建筑密集程度。）</t>
  </si>
  <si>
    <t xml:space="preserve"> 绿地率=绿地面积/建筑用地面积（绿地率跟绿化率不是同一概念，绿地率基本为草皮和地被面积和）</t>
  </si>
  <si>
    <t>园建面积=景观面积+车行道面积+架空层面积+别墅庭院面积</t>
  </si>
  <si>
    <t>景观面积=硬景面积+软景面积</t>
  </si>
  <si>
    <t>车行道面积=地块内车行道面积+露天停车位面积（隐形消防车道及登高面按材质区分，草皮为绿地面积的一部分、而为硬铺时为车行道面积的一部分）</t>
  </si>
  <si>
    <t>硬景面积包含：园路，广场硬铺，球场，游乐设施，构筑小品，平台栈道，硬底水景，室外泳池的水平投影占地面积，</t>
  </si>
  <si>
    <t>软景面积包含：灌木面积，草坪面积，天然水景等。</t>
  </si>
  <si>
    <t>占地面积数据复核</t>
  </si>
  <si>
    <t>数据逻辑：建筑用地面积=基底面积+车行道面积+景观面积+别墅庭院面积（如有）</t>
  </si>
  <si>
    <t>产品构成</t>
  </si>
  <si>
    <t>可经营面积</t>
  </si>
  <si>
    <t>产品比例</t>
  </si>
  <si>
    <t>户均面积</t>
  </si>
  <si>
    <t>层数</t>
  </si>
  <si>
    <t>层高(m)</t>
  </si>
  <si>
    <t>赠送面积
（㎡）</t>
  </si>
  <si>
    <r>
      <rPr>
        <b/>
        <sz val="9"/>
        <rFont val="宋体"/>
        <charset val="134"/>
      </rPr>
      <t>赠送比(</t>
    </r>
    <r>
      <rPr>
        <b/>
        <sz val="9"/>
        <rFont val="宋体"/>
        <charset val="134"/>
      </rPr>
      <t>%)</t>
    </r>
  </si>
  <si>
    <t>住宅类</t>
  </si>
  <si>
    <t>超高层</t>
  </si>
  <si>
    <t>17亩</t>
  </si>
  <si>
    <t>联排别墅</t>
  </si>
  <si>
    <t>非住宅类</t>
  </si>
  <si>
    <r>
      <rPr>
        <sz val="9"/>
        <rFont val="宋体"/>
        <charset val="134"/>
      </rPr>
      <t>商业1</t>
    </r>
    <r>
      <rPr>
        <sz val="9"/>
        <rFont val="宋体"/>
        <charset val="134"/>
      </rPr>
      <t>#楼</t>
    </r>
  </si>
  <si>
    <t>商业2#楼</t>
  </si>
  <si>
    <t>商业3#楼</t>
  </si>
  <si>
    <t>商业4#楼</t>
  </si>
  <si>
    <t>持有写字楼乙级</t>
  </si>
  <si>
    <t>可售酒店</t>
  </si>
  <si>
    <t>持有酒店</t>
  </si>
  <si>
    <t>成本全部摊入可售部分，不单独保留成本</t>
  </si>
  <si>
    <t>变配电房</t>
  </si>
  <si>
    <t>消防控制室</t>
  </si>
  <si>
    <t>公厕</t>
  </si>
  <si>
    <t>文化活动用房</t>
  </si>
  <si>
    <t>养老所</t>
  </si>
  <si>
    <t>见《核算指导》</t>
  </si>
  <si>
    <t>其它</t>
  </si>
  <si>
    <t>代征道路</t>
  </si>
  <si>
    <t>代征绿地</t>
  </si>
  <si>
    <t>车位数</t>
  </si>
  <si>
    <t>根据是否可售及收入配比原则自行确定</t>
  </si>
  <si>
    <t>持有物业配套停车</t>
  </si>
  <si>
    <t>成本全部摊入持有物业部分，不单独保留成本</t>
  </si>
  <si>
    <t>可售物业停车</t>
  </si>
  <si>
    <t>机械车位</t>
  </si>
  <si>
    <t>储藏室</t>
  </si>
  <si>
    <t>自行车库</t>
  </si>
  <si>
    <t>地面露天停车</t>
  </si>
  <si>
    <t>车位分摊</t>
  </si>
  <si>
    <t>普通车位个数</t>
  </si>
  <si>
    <t>机械车位个数</t>
  </si>
  <si>
    <t>普通车位售价</t>
  </si>
  <si>
    <t>机械车位售价</t>
  </si>
  <si>
    <t>车位分摊成本</t>
  </si>
  <si>
    <t>全项目总地价及销售和持有物业地价分摊</t>
  </si>
  <si>
    <t>合同或收费名称</t>
  </si>
  <si>
    <t>系数</t>
  </si>
  <si>
    <t>单位</t>
  </si>
  <si>
    <t>工作量</t>
  </si>
  <si>
    <t>总额（万元）</t>
  </si>
  <si>
    <t>含税总额(万元)</t>
  </si>
  <si>
    <t>工程量及单价说明</t>
  </si>
  <si>
    <t>土地价款</t>
  </si>
  <si>
    <t>土地合同（含契税）</t>
  </si>
  <si>
    <t>其中：购买市场价补差</t>
  </si>
  <si>
    <t>溢价</t>
  </si>
  <si>
    <t>说明：土地溢价按照可售面积在跨期分摊，在《跨期成本分摊明细表》中核算，不在《地价分表表》中测算，但是土地溢价是地价不可分割的一部分。</t>
  </si>
  <si>
    <t>-</t>
  </si>
  <si>
    <t>土地使用费</t>
  </si>
  <si>
    <t>地块周边市政设施改造费</t>
  </si>
  <si>
    <t>高压外线</t>
  </si>
  <si>
    <t>前期已发生成本</t>
  </si>
  <si>
    <t>设计费等</t>
  </si>
  <si>
    <t>补偿费（拆迁、青苗等）</t>
  </si>
  <si>
    <t>拆迁补偿合同</t>
  </si>
  <si>
    <t>销售和持有物业地价分摊</t>
  </si>
  <si>
    <t>销售物业</t>
  </si>
  <si>
    <t>计容可售面积</t>
  </si>
  <si>
    <t>持有物业</t>
  </si>
  <si>
    <t>计容经营面积</t>
  </si>
  <si>
    <t>其中：酒店外地价</t>
  </si>
  <si>
    <t xml:space="preserve">   项目全期占地面积分摊表</t>
  </si>
  <si>
    <t xml:space="preserve">产品 </t>
  </si>
  <si>
    <t>计容可售面积 （m2）</t>
  </si>
  <si>
    <t xml:space="preserve">占地面积 （m2） </t>
  </si>
  <si>
    <t xml:space="preserve"> 合计 </t>
  </si>
  <si>
    <t xml:space="preserve">   项目销售物业全期地价分摊表（成本）</t>
  </si>
  <si>
    <t>分摊基数</t>
  </si>
  <si>
    <t>单基应摊</t>
  </si>
  <si>
    <t>地价分摊（不含溢价）（万元）</t>
  </si>
  <si>
    <t>溢价分摊（万元）</t>
  </si>
  <si>
    <t>可售单方（元/m2）</t>
  </si>
  <si>
    <t xml:space="preserve">   项目销售物业全期地价分摊表（进项税）</t>
  </si>
  <si>
    <t>地价分摊（万元）</t>
  </si>
  <si>
    <t>XX项目全期合约金额规划</t>
  </si>
  <si>
    <t>类别</t>
  </si>
  <si>
    <t>合约PDC类别</t>
  </si>
  <si>
    <t>公摊费用(全期）</t>
  </si>
  <si>
    <t>小高层</t>
  </si>
  <si>
    <t>多层</t>
  </si>
  <si>
    <t>本期管理合约金额小计</t>
  </si>
  <si>
    <t>管辖端口</t>
  </si>
  <si>
    <t>前期类</t>
  </si>
  <si>
    <t>财务</t>
  </si>
  <si>
    <t>前期</t>
  </si>
  <si>
    <t>项发</t>
  </si>
  <si>
    <t>施工</t>
  </si>
  <si>
    <t>安装甲分包</t>
  </si>
  <si>
    <t>工程采购</t>
  </si>
  <si>
    <t>土建总承包</t>
  </si>
  <si>
    <t>精装甲分包</t>
  </si>
  <si>
    <t>物业用房精装修施工合同</t>
  </si>
  <si>
    <t>土建甲分包</t>
  </si>
  <si>
    <t>特殊地基处理施工合同</t>
  </si>
  <si>
    <t>预制墙板供应/供应及施工合同</t>
  </si>
  <si>
    <t>采购</t>
  </si>
  <si>
    <t>甲供材及设备</t>
  </si>
  <si>
    <t>专用添加剂采购合同</t>
  </si>
  <si>
    <t>防水材料供货合同</t>
  </si>
  <si>
    <t>防水工程施工合同</t>
  </si>
  <si>
    <t>户内配电箱供货合同</t>
  </si>
  <si>
    <t>电梯供货工程合同</t>
  </si>
  <si>
    <t>电梯安装工程合同</t>
  </si>
  <si>
    <t>精装修总承包</t>
  </si>
  <si>
    <t>精装修总承包工程施工合同</t>
  </si>
  <si>
    <t>户内门供货及安装合同</t>
  </si>
  <si>
    <t>橱柜、收纳柜供货及安装合同</t>
  </si>
  <si>
    <t>精装甲供材</t>
  </si>
  <si>
    <t>淋浴屏供货及安装合同</t>
  </si>
  <si>
    <t>木地板供货及安装合同</t>
  </si>
  <si>
    <t>户内厨房3件套供货合同</t>
  </si>
  <si>
    <t>热水器供货及安装合同</t>
  </si>
  <si>
    <t>瓷砖供货合同</t>
  </si>
  <si>
    <t>瓷砖粘结剂、填缝剂供货合同</t>
  </si>
  <si>
    <t>涂料供货合同</t>
  </si>
  <si>
    <t>灯具供货合同</t>
  </si>
  <si>
    <t>开关插座供货合同</t>
  </si>
  <si>
    <t>户内洁具、五金供货合同</t>
  </si>
  <si>
    <t>经营增配合同包</t>
  </si>
  <si>
    <t>地下车库地坪漆施工合同</t>
  </si>
  <si>
    <t>交通划线及设施采购施工合同</t>
  </si>
  <si>
    <t>外墙涂料采购合同</t>
  </si>
  <si>
    <t>外墙涂料施工合同</t>
  </si>
  <si>
    <t>玻璃幕墙工程施工合同</t>
  </si>
  <si>
    <t>金属幕墙工程施工合同</t>
  </si>
  <si>
    <t>外墙石材供货及施工合同</t>
  </si>
  <si>
    <t>外墙面砖供货合同</t>
  </si>
  <si>
    <t>门窗工程合同</t>
  </si>
  <si>
    <t>栏杆、百叶、雨篷施工合同</t>
  </si>
  <si>
    <t>楼体泛光照明合同</t>
  </si>
  <si>
    <t>入户门供货及安装工程合同</t>
  </si>
  <si>
    <t>屋面瓦供货合同</t>
  </si>
  <si>
    <t>信报箱采购及安装合同</t>
  </si>
  <si>
    <t>电话、网络接入合同</t>
  </si>
  <si>
    <t>有限电视安装工程</t>
  </si>
  <si>
    <t>对讲系统采购供货合同</t>
  </si>
  <si>
    <t>中水系统工程合同</t>
  </si>
  <si>
    <t>新风系统设备及安装工程合同</t>
  </si>
  <si>
    <t>设计</t>
  </si>
  <si>
    <t>设计类</t>
  </si>
  <si>
    <t>二次深化设计合同包</t>
  </si>
  <si>
    <t>建筑研究用房工程费用包</t>
  </si>
  <si>
    <t>其他类</t>
  </si>
  <si>
    <t>营销</t>
  </si>
  <si>
    <t>营销类</t>
  </si>
  <si>
    <t>客关/工程</t>
  </si>
  <si>
    <t>商业精装修工程施工合同</t>
  </si>
  <si>
    <t>空调及通风系统合同</t>
  </si>
  <si>
    <t>数据验证（金额为0 ，则正确）</t>
  </si>
  <si>
    <r>
      <rPr>
        <b/>
        <sz val="10"/>
        <rFont val="宋体"/>
        <charset val="134"/>
      </rPr>
      <t xml:space="preserve">注：
</t>
    </r>
  </si>
  <si>
    <r>
      <rPr>
        <sz val="10"/>
        <rFont val="Arial"/>
        <charset val="134"/>
      </rPr>
      <t>1.</t>
    </r>
    <r>
      <rPr>
        <sz val="10"/>
        <rFont val="宋体"/>
        <charset val="134"/>
      </rPr>
      <t xml:space="preserve">此表以合约发生为口径统计，与成本分摊无直接关联；
</t>
    </r>
  </si>
  <si>
    <r>
      <rPr>
        <sz val="10"/>
        <rFont val="Arial"/>
        <charset val="134"/>
      </rPr>
      <t>2.</t>
    </r>
    <r>
      <rPr>
        <sz val="10"/>
        <rFont val="宋体"/>
        <charset val="134"/>
      </rPr>
      <t>数据验证逻辑：合约口径的各期数据应与同期科目口径数据闭合。</t>
    </r>
  </si>
  <si>
    <t>本期管理合约金额总计</t>
  </si>
  <si>
    <t>进项税率
（%）</t>
  </si>
  <si>
    <t>获取施工证</t>
  </si>
  <si>
    <t>土方开工</t>
  </si>
  <si>
    <t>桩基施工图完成</t>
  </si>
  <si>
    <t>基础开工</t>
  </si>
  <si>
    <t>主体施工图完成</t>
  </si>
  <si>
    <t>施工至正负零</t>
  </si>
  <si>
    <t>园建施工图完成</t>
  </si>
  <si>
    <t>展示区精装修施工图完成</t>
  </si>
  <si>
    <t>工程达到预售条件</t>
  </si>
  <si>
    <t>封顶</t>
  </si>
  <si>
    <t>落架完成</t>
  </si>
  <si>
    <t>配套开始</t>
  </si>
  <si>
    <t>配套结束</t>
  </si>
  <si>
    <t>精装修施工图完成</t>
  </si>
  <si>
    <t>装修开始</t>
  </si>
  <si>
    <t>装修结束</t>
  </si>
  <si>
    <t>结算完成</t>
  </si>
  <si>
    <t>保修完成</t>
  </si>
  <si>
    <t>复核</t>
  </si>
  <si>
    <t>累计产值比例</t>
  </si>
  <si>
    <t>付款类型</t>
  </si>
  <si>
    <t>付款占合约比例</t>
  </si>
  <si>
    <t>付款金额</t>
  </si>
  <si>
    <t>付款:成本</t>
  </si>
  <si>
    <t>付款:税</t>
  </si>
  <si>
    <t>付款-成本</t>
  </si>
  <si>
    <t>付款-税</t>
  </si>
  <si>
    <t>预付款</t>
  </si>
  <si>
    <t>进度款</t>
  </si>
  <si>
    <t>结算款</t>
  </si>
  <si>
    <t>保修款</t>
  </si>
  <si>
    <t>财务口径</t>
  </si>
  <si>
    <t>合同/合约包金额</t>
  </si>
  <si>
    <t>金额排序列</t>
  </si>
  <si>
    <t>单一合同类别规划金额降序排列的前20位占发生在本期的合同总额比例（%）</t>
  </si>
  <si>
    <t>跨期成本分摊表</t>
  </si>
  <si>
    <t>总可售面积</t>
  </si>
  <si>
    <t>可售（经营）面积比</t>
  </si>
  <si>
    <t>销售物业总可售面积</t>
  </si>
  <si>
    <t>可售面积比</t>
  </si>
  <si>
    <t>成本科目</t>
  </si>
  <si>
    <t>成本单价
（元）</t>
  </si>
  <si>
    <t>进项税额（万元）</t>
  </si>
  <si>
    <t>成本+税
（万元）</t>
  </si>
  <si>
    <t>发生期</t>
  </si>
  <si>
    <t>分摊标准</t>
  </si>
  <si>
    <t>销售物业成本分摊</t>
  </si>
  <si>
    <t>销售物业合约管理</t>
  </si>
  <si>
    <t>一期分摊</t>
  </si>
  <si>
    <t>二期分摊</t>
  </si>
  <si>
    <t>后期分摊</t>
  </si>
  <si>
    <t>跨期管理合约</t>
  </si>
  <si>
    <t>一期管理合约</t>
  </si>
  <si>
    <t>本期管理合约</t>
  </si>
  <si>
    <t>后期管理合约</t>
  </si>
  <si>
    <t>占地面积比</t>
  </si>
  <si>
    <t>跨期</t>
  </si>
  <si>
    <t>合作款项</t>
  </si>
  <si>
    <t>契税及其他（开发票补税）</t>
  </si>
  <si>
    <t>高压电力架空线迁移</t>
  </si>
  <si>
    <t>排水箱涵修建</t>
  </si>
  <si>
    <t>建设用地测量</t>
  </si>
  <si>
    <t>规划放线定位测量</t>
  </si>
  <si>
    <t>预售面积测量</t>
  </si>
  <si>
    <t>项目交通分析</t>
  </si>
  <si>
    <t>勘察工程</t>
  </si>
  <si>
    <t>沉降观测</t>
  </si>
  <si>
    <t>人防异地建设</t>
  </si>
  <si>
    <t>墙改保证金</t>
  </si>
  <si>
    <t>环境影响与水土保持评估</t>
  </si>
  <si>
    <t>规划图纸审查</t>
  </si>
  <si>
    <t>消防图纸审查</t>
  </si>
  <si>
    <t>人防图纸审查</t>
  </si>
  <si>
    <t>施工图审查</t>
  </si>
  <si>
    <t>防雷检测及验收</t>
  </si>
  <si>
    <t>燃气审查</t>
  </si>
  <si>
    <t>.</t>
  </si>
  <si>
    <t>5001.02</t>
  </si>
  <si>
    <t>配套及地下室费</t>
  </si>
  <si>
    <t>此工程全部发生在二期</t>
  </si>
  <si>
    <t>5001.02.01.01.01</t>
  </si>
  <si>
    <t>垃圾房</t>
  </si>
  <si>
    <t>可售物业的人防地下室（非人防车库分摊）</t>
  </si>
  <si>
    <t>持有物业的人防地下室（非人防车库分摊）</t>
  </si>
  <si>
    <t>土方工程（开挖回填）</t>
  </si>
  <si>
    <t>基坑支护</t>
  </si>
  <si>
    <t>基坑监测</t>
  </si>
  <si>
    <t>此工程全部发生在一期</t>
  </si>
  <si>
    <t>软基处理</t>
  </si>
  <si>
    <t>5001.02.04.01.01</t>
  </si>
  <si>
    <t>填河道</t>
  </si>
  <si>
    <t>5001.02.04.01.02</t>
  </si>
  <si>
    <t>场地内填池塘、沼泽</t>
  </si>
  <si>
    <t>边坡挡墙</t>
  </si>
  <si>
    <t>5001.02.04.03</t>
  </si>
  <si>
    <t>原有道路及构筑物破坏修复</t>
  </si>
  <si>
    <t>基建及管网费</t>
  </si>
  <si>
    <t>室外管网工程（室外和室内分界点为外墙皮外1.5m）</t>
  </si>
  <si>
    <t>室外管材采购（或甲指乙供）</t>
  </si>
  <si>
    <t>室外设备采购（或甲指乙供）</t>
  </si>
  <si>
    <t>调压站设备及安装</t>
  </si>
  <si>
    <t>环境提升费</t>
  </si>
  <si>
    <t>乔木</t>
  </si>
  <si>
    <t>灌木</t>
  </si>
  <si>
    <t>5001.06.03.06.07</t>
  </si>
  <si>
    <t>地下室顶板构造做法</t>
  </si>
  <si>
    <t>10）</t>
  </si>
  <si>
    <t>11）</t>
  </si>
  <si>
    <t>5001.07.03.07.04.02</t>
  </si>
  <si>
    <t>销售临时围板</t>
  </si>
  <si>
    <t>全过程造价咨询服务合同</t>
  </si>
  <si>
    <t>主体建安工程费</t>
  </si>
  <si>
    <t>消耗消耗量</t>
  </si>
  <si>
    <t>含税可售单方
(元/M2)</t>
  </si>
  <si>
    <t>主体结构工程</t>
  </si>
  <si>
    <t>5001.03.01.01</t>
  </si>
  <si>
    <t>土方回填</t>
  </si>
  <si>
    <t>5001.03.01.01.01</t>
  </si>
  <si>
    <t>承台土方开挖</t>
  </si>
  <si>
    <t>5001.03.01.01.02</t>
  </si>
  <si>
    <t>地下室周边土方回填</t>
  </si>
  <si>
    <t>5001.03.01.02</t>
  </si>
  <si>
    <t>5001.03.01.03.01</t>
  </si>
  <si>
    <t>混凝土</t>
  </si>
  <si>
    <t>建筑面积*（1+赠送比例）</t>
  </si>
  <si>
    <t>5001.03.01.03.01.01</t>
  </si>
  <si>
    <t>混凝土（甲供材）</t>
  </si>
  <si>
    <t>5001.03.01.03.01.02</t>
  </si>
  <si>
    <t>混凝土施工（含乙供材）</t>
  </si>
  <si>
    <t>5001.03.01.03.02</t>
  </si>
  <si>
    <t>钢筋</t>
  </si>
  <si>
    <t>5001.03.01.03.02.01</t>
  </si>
  <si>
    <t>钢筋（甲供材）</t>
  </si>
  <si>
    <t>kg/m2</t>
  </si>
  <si>
    <t>5001.03.01.03.02.02</t>
  </si>
  <si>
    <t>钢筋施工（含乙供材）</t>
  </si>
  <si>
    <t>5001.03.01.03.03</t>
  </si>
  <si>
    <t>模板</t>
  </si>
  <si>
    <t>5001.03.01.03.04</t>
  </si>
  <si>
    <t>砌体</t>
  </si>
  <si>
    <t>5001.03.01.03.04.01</t>
  </si>
  <si>
    <t>砌体（甲供材）</t>
  </si>
  <si>
    <t>5001.03.01.03.04.02</t>
  </si>
  <si>
    <t>砌体施工（含乙供材）</t>
  </si>
  <si>
    <t>5001.03.01.03.05</t>
  </si>
  <si>
    <t>墙板</t>
  </si>
  <si>
    <t>5001.03.01.03.05.01</t>
  </si>
  <si>
    <t>墙板甲供材</t>
  </si>
  <si>
    <t>5001.03.01.03.05.02</t>
  </si>
  <si>
    <t>墙板施工（含乙供材）</t>
  </si>
  <si>
    <t>5001.03.01.03.06</t>
  </si>
  <si>
    <t>找平及抹灰</t>
  </si>
  <si>
    <t>5001.03.01.03.06.01</t>
  </si>
  <si>
    <t>水泥砂浆楼地面</t>
  </si>
  <si>
    <t>5001.03.01.03.06.02</t>
  </si>
  <si>
    <t>室内墙面抹面</t>
  </si>
  <si>
    <t>5001.03.01.03.06.03</t>
  </si>
  <si>
    <t>室外墙面抹面</t>
  </si>
  <si>
    <t>5001.03.01.03.06.04</t>
  </si>
  <si>
    <t>墙面挂钢丝网</t>
  </si>
  <si>
    <t>5001.03.01.03.06.05</t>
  </si>
  <si>
    <t>天棚水泥腻子</t>
  </si>
  <si>
    <t>5001.03.01.03.07</t>
  </si>
  <si>
    <t>CL30添加剂甲供材</t>
  </si>
  <si>
    <t>5001.03.01.03.08</t>
  </si>
  <si>
    <t>总包防水施工</t>
  </si>
  <si>
    <t>5001.03.01.03.08.01</t>
  </si>
  <si>
    <t>屋面防水施工</t>
  </si>
  <si>
    <t>5001.03.01.03.08.02</t>
  </si>
  <si>
    <t>其他零星防水施工</t>
  </si>
  <si>
    <t>5001.03.01.03.09</t>
  </si>
  <si>
    <t>防水甲供材</t>
  </si>
  <si>
    <t>5001.03.01.03.09.01</t>
  </si>
  <si>
    <t>屋面防水甲供材</t>
  </si>
  <si>
    <t>5001.03.01.03.09.02</t>
  </si>
  <si>
    <t>其他零星防防水甲供材</t>
  </si>
  <si>
    <t>5001.03.01.03.09.03</t>
  </si>
  <si>
    <t>厨卫墙面防水甲供材</t>
  </si>
  <si>
    <t>5001.03.01.03.09.04</t>
  </si>
  <si>
    <t>厨卫地面防水甲供材</t>
  </si>
  <si>
    <t>5001.03.01.03.09.05</t>
  </si>
  <si>
    <t>阳台地面防水甲供材</t>
  </si>
  <si>
    <t>5001.03.01.03.10</t>
  </si>
  <si>
    <t>防水甲分包</t>
  </si>
  <si>
    <t>5001.03.01.03.10.01</t>
  </si>
  <si>
    <t>厨卫墙面防水施工</t>
  </si>
  <si>
    <t>5001.03.01.03.10.02</t>
  </si>
  <si>
    <t>厨卫地面防水施工</t>
  </si>
  <si>
    <t>5001.03.01.03.10.03</t>
  </si>
  <si>
    <t>阳台地面防水施工</t>
  </si>
  <si>
    <t>5001.03.01.03.11</t>
  </si>
  <si>
    <t>措施费（含安全文明、实测实量）</t>
  </si>
  <si>
    <t>5001.03.01.03.11.01</t>
  </si>
  <si>
    <t>综合脚手架</t>
  </si>
  <si>
    <t>5001.03.01.03.11.02</t>
  </si>
  <si>
    <t>里脚手架</t>
  </si>
  <si>
    <t>5001.03.01.03.11.03</t>
  </si>
  <si>
    <t>垂直运输</t>
  </si>
  <si>
    <t>5001.03.01.03.11.04</t>
  </si>
  <si>
    <t>技术措施费用</t>
  </si>
  <si>
    <t>5001.03.01.03.11.05</t>
  </si>
  <si>
    <t>综合开办费</t>
  </si>
  <si>
    <t>5001.03.01.03.12</t>
  </si>
  <si>
    <t>总包防腐、隔热、保温、降噪施工</t>
  </si>
  <si>
    <t>5001.03.01.03.12.01</t>
  </si>
  <si>
    <t>外墙保温施工</t>
  </si>
  <si>
    <t>5001.03.01.03.12.02</t>
  </si>
  <si>
    <t>地下室顶板保温</t>
  </si>
  <si>
    <t>5001.03.01.03.12.03</t>
  </si>
  <si>
    <t>楼层保温施工费</t>
  </si>
  <si>
    <t>5001.03.01.03.12.04</t>
  </si>
  <si>
    <t>屋面保温施工</t>
  </si>
  <si>
    <t>5001.03.01.03.13</t>
  </si>
  <si>
    <t>防腐、隔热、保温、降噪甲供材</t>
  </si>
  <si>
    <t>5001.03.01.03.13.01</t>
  </si>
  <si>
    <t>外墙保温材料费</t>
  </si>
  <si>
    <t>5001.03.01.03.13.02</t>
  </si>
  <si>
    <t>地下室顶板聚苯板</t>
  </si>
  <si>
    <t>5001.03.01.03.13.03</t>
  </si>
  <si>
    <t>楼层保温材料费</t>
  </si>
  <si>
    <t>5001.03.01.03.13.04</t>
  </si>
  <si>
    <t>屋面保温聚苯板</t>
  </si>
  <si>
    <t>5001.03.01.03.14</t>
  </si>
  <si>
    <t>厨卫烟道</t>
  </si>
  <si>
    <t>m/户</t>
  </si>
  <si>
    <t>5001.03.01.03.15</t>
  </si>
  <si>
    <t>变更、签证预留费</t>
  </si>
  <si>
    <t>5001.03.01.03.16</t>
  </si>
  <si>
    <t>绿色建筑增加费</t>
  </si>
  <si>
    <t>5001.03.01.03.17</t>
  </si>
  <si>
    <t>其它零星费</t>
  </si>
  <si>
    <t>5001.03.01.03.17.01</t>
  </si>
  <si>
    <t>公共部位评估品质提升费</t>
  </si>
  <si>
    <t>5001.03.01.03.17.02</t>
  </si>
  <si>
    <t>验收改造费</t>
  </si>
  <si>
    <t>5001.03.01.03.17.03</t>
  </si>
  <si>
    <t>零星工程及措施费</t>
  </si>
  <si>
    <t>5001.03.02.01</t>
  </si>
  <si>
    <t>主体水暖气电</t>
  </si>
  <si>
    <t>5001.03.02.01.01</t>
  </si>
  <si>
    <t>室内给排水系统施工</t>
  </si>
  <si>
    <t>5001.03.02.01.02</t>
  </si>
  <si>
    <t>水表及水表箱安装</t>
  </si>
  <si>
    <t>5001.03.02.01.03</t>
  </si>
  <si>
    <t>给水PPR管甲供材</t>
  </si>
  <si>
    <t>5001.03.02.01.04</t>
  </si>
  <si>
    <t>UPVC排水管甲供材</t>
  </si>
  <si>
    <t>5001.03.02.01.05</t>
  </si>
  <si>
    <t>室内给排水系统其它（阀门采购安装）</t>
  </si>
  <si>
    <t>5001.03.02.01.06</t>
  </si>
  <si>
    <t>室内供热水系统费</t>
  </si>
  <si>
    <t>5001.03.02.01.07</t>
  </si>
  <si>
    <t>室内采暖系统费</t>
  </si>
  <si>
    <t>5001.03.02.01.08</t>
  </si>
  <si>
    <t>室内燃气系统费</t>
  </si>
  <si>
    <t>户</t>
  </si>
  <si>
    <t>5001.03.02.01.09</t>
  </si>
  <si>
    <t>室内电气系统施工</t>
  </si>
  <si>
    <t>5001.03.02.01.10</t>
  </si>
  <si>
    <t>PVC穿线管甲供材</t>
  </si>
  <si>
    <t>5001.03.02.01.11</t>
  </si>
  <si>
    <t>电线甲供材</t>
  </si>
  <si>
    <t>5001.03.02.01.12</t>
  </si>
  <si>
    <t>电缆甲供材</t>
  </si>
  <si>
    <t>5001.03.02.01.13</t>
  </si>
  <si>
    <t>户内配电箱甲供材</t>
  </si>
  <si>
    <t>5001.03.02.01.14</t>
  </si>
  <si>
    <t>弱电箱甲供材</t>
  </si>
  <si>
    <t>套/户</t>
  </si>
  <si>
    <t>5001.03.02.01.15</t>
  </si>
  <si>
    <t>电表箱</t>
  </si>
  <si>
    <t>5001.03.02.01.16</t>
  </si>
  <si>
    <t>室内电气系统其它（灯具面板）</t>
  </si>
  <si>
    <t>5001.03.02.02</t>
  </si>
  <si>
    <t>主体设备及其安装费</t>
  </si>
  <si>
    <t>5001.03.02.02.01</t>
  </si>
  <si>
    <t>电梯采购</t>
  </si>
  <si>
    <t>部/单元</t>
  </si>
  <si>
    <t>5001.03.02.02.02</t>
  </si>
  <si>
    <t>电梯安装</t>
  </si>
  <si>
    <t>5001.03.02.02.03</t>
  </si>
  <si>
    <t>消防系统及其安装费</t>
  </si>
  <si>
    <t>5001.03.02.02.04</t>
  </si>
  <si>
    <t>消防系统电缆甲供材</t>
  </si>
  <si>
    <t>5001.03.02.02.05</t>
  </si>
  <si>
    <t>空调及通风系统费</t>
  </si>
  <si>
    <t>5001.03.02.02.06</t>
  </si>
  <si>
    <t>建筑清洁系统</t>
  </si>
  <si>
    <t>5001.03.02.02.07</t>
  </si>
  <si>
    <t>洗衣服务设备</t>
  </si>
  <si>
    <t>5001.04</t>
  </si>
  <si>
    <t>5001.04.01</t>
  </si>
  <si>
    <t>室内装修</t>
  </si>
  <si>
    <t>5001.04.01.01</t>
  </si>
  <si>
    <t>室内精装总包</t>
  </si>
  <si>
    <t>5001.04.01.02</t>
  </si>
  <si>
    <t>内门供应及安装</t>
  </si>
  <si>
    <t>5001.04.01.03</t>
  </si>
  <si>
    <t>收纳、橱柜供应及安装</t>
  </si>
  <si>
    <t>5001.04.01.04</t>
  </si>
  <si>
    <t>淋浴屏供应及安装</t>
  </si>
  <si>
    <t>5001.04.01.05</t>
  </si>
  <si>
    <t>木地板供应及安装</t>
  </si>
  <si>
    <t>5001.04.01.06</t>
  </si>
  <si>
    <t>空调供应及安装</t>
  </si>
  <si>
    <t>5001.04.01.07</t>
  </si>
  <si>
    <t>厨房三大件</t>
  </si>
  <si>
    <t>5001.04.01.09</t>
  </si>
  <si>
    <t>瓷砖甲供材</t>
  </si>
  <si>
    <t>5001.04.01.10</t>
  </si>
  <si>
    <t>瓷砖粘结剂甲供材</t>
  </si>
  <si>
    <t>5001.04.01.11</t>
  </si>
  <si>
    <t>涂料甲供材（室内精装修）</t>
  </si>
  <si>
    <t>5001.04.01.12</t>
  </si>
  <si>
    <t>12）</t>
  </si>
  <si>
    <t>灯具甲供材</t>
  </si>
  <si>
    <t>5001.04.01.13</t>
  </si>
  <si>
    <t>13）</t>
  </si>
  <si>
    <t>开关插座甲供材</t>
  </si>
  <si>
    <t>5001.04.01.14</t>
  </si>
  <si>
    <t>14）</t>
  </si>
  <si>
    <t>洁具甲供材</t>
  </si>
  <si>
    <t>5001.04.01.15</t>
  </si>
  <si>
    <t>15）</t>
  </si>
  <si>
    <t>五金甲供材</t>
  </si>
  <si>
    <t>5001.04.02</t>
  </si>
  <si>
    <t>经营增配（住宅、公寓及酒店家私及部品）</t>
  </si>
  <si>
    <t>5001.04.02.01</t>
  </si>
  <si>
    <t>家私</t>
  </si>
  <si>
    <t>5001.04.02.02</t>
  </si>
  <si>
    <t>房间小电器</t>
  </si>
  <si>
    <t>5001.04.02.03</t>
  </si>
  <si>
    <t>软装及装饰部品</t>
  </si>
  <si>
    <t>5001.04.03</t>
  </si>
  <si>
    <t>装修分离体系增加费</t>
  </si>
  <si>
    <t>5001.04.03.01</t>
  </si>
  <si>
    <t>5001.04.03.02</t>
  </si>
  <si>
    <t>5001.04.04</t>
  </si>
  <si>
    <t>持有物业租赁区装修费</t>
  </si>
  <si>
    <t>5001.05</t>
  </si>
  <si>
    <t>5001.05.01.01</t>
  </si>
  <si>
    <t>外立面工程</t>
  </si>
  <si>
    <t>5001.05.01.01.01</t>
  </si>
  <si>
    <t>涂料甲供材（外立面工程）</t>
  </si>
  <si>
    <t>5001.05.01.01.01.01</t>
  </si>
  <si>
    <t>真石漆供材</t>
  </si>
  <si>
    <t>5001.05.01.01.01.02</t>
  </si>
  <si>
    <t>仿石甲供材</t>
  </si>
  <si>
    <t>5001.05.01.01.02</t>
  </si>
  <si>
    <t>涂料施工</t>
  </si>
  <si>
    <t>5001.05.01.01.02.01</t>
  </si>
  <si>
    <t>真石漆施工</t>
  </si>
  <si>
    <t>5001.05.01.01.02.02</t>
  </si>
  <si>
    <t>仿石施工</t>
  </si>
  <si>
    <t>5001.05.01.01.03</t>
  </si>
  <si>
    <t>玻璃幕墙</t>
  </si>
  <si>
    <t>5001.05.01.01.04</t>
  </si>
  <si>
    <t>金属幕墙</t>
  </si>
  <si>
    <t>5001.05.01.01.05</t>
  </si>
  <si>
    <t>石材幕墙</t>
  </si>
  <si>
    <t>5001.05.01.01.06</t>
  </si>
  <si>
    <t>面砖甲供材</t>
  </si>
  <si>
    <t>5001.05.01.01.07</t>
  </si>
  <si>
    <t>面砖施工</t>
  </si>
  <si>
    <t>5001.05.01.01.08</t>
  </si>
  <si>
    <t>雨蓬等装饰</t>
  </si>
  <si>
    <t>个/单元</t>
  </si>
  <si>
    <t>5001.05.01.01.09</t>
  </si>
  <si>
    <t>楼体泛光照明</t>
  </si>
  <si>
    <t>栋数</t>
  </si>
  <si>
    <t>5001.05.01.01.10</t>
  </si>
  <si>
    <t>外遮阳</t>
  </si>
  <si>
    <t>m2/户</t>
  </si>
  <si>
    <t>5001.05.01.01.11</t>
  </si>
  <si>
    <t>其他（外立面装饰工程类）</t>
  </si>
  <si>
    <t>5001.05.01.02</t>
  </si>
  <si>
    <t>栏杆百叶工程</t>
  </si>
  <si>
    <t>5001.05.01.02.01</t>
  </si>
  <si>
    <t>楼梯扶手栏杆</t>
  </si>
  <si>
    <t>层数+1</t>
  </si>
  <si>
    <t>层</t>
  </si>
  <si>
    <t>5001.05.01.02.02</t>
  </si>
  <si>
    <t>中庭环廊及扶梯扶手栏杆</t>
  </si>
  <si>
    <t>5001.05.01.02.03</t>
  </si>
  <si>
    <t>阳、露台、生活阳台栏杆</t>
  </si>
  <si>
    <t>5001.05.01.02.05</t>
  </si>
  <si>
    <t>低窗护栏</t>
  </si>
  <si>
    <t>5001.05.01.02.06</t>
  </si>
  <si>
    <t>百叶（空调及遮阳等）</t>
  </si>
  <si>
    <t>5001.05.01.03</t>
  </si>
  <si>
    <t>门窗工程</t>
  </si>
  <si>
    <t>5001.05.01.03.01</t>
  </si>
  <si>
    <t>公共区域出入门</t>
  </si>
  <si>
    <t>樘</t>
  </si>
  <si>
    <t>5001.05.01.03.02</t>
  </si>
  <si>
    <t>入户门</t>
  </si>
  <si>
    <t>樘/户</t>
  </si>
  <si>
    <t>5001.05.01.03.03</t>
  </si>
  <si>
    <t>公共区域防火门、卷帘</t>
  </si>
  <si>
    <t>5001.05.01.03.04</t>
  </si>
  <si>
    <t>窗、阳台门</t>
  </si>
  <si>
    <t>5001.05.01.04</t>
  </si>
  <si>
    <t>其他工程</t>
  </si>
  <si>
    <t>5001.05.01.04.01</t>
  </si>
  <si>
    <t>屋面精装修</t>
  </si>
  <si>
    <t>5001.05.01.04.02</t>
  </si>
  <si>
    <t>装饰线条</t>
  </si>
  <si>
    <t>5001.05.01.04.03</t>
  </si>
  <si>
    <t>屋面精装修甲供材</t>
  </si>
  <si>
    <t>5001.05.01.04.04</t>
  </si>
  <si>
    <t>标识牌（指示/分区/楼栋/门牌等）</t>
  </si>
  <si>
    <t>5001.05.01.04.05</t>
  </si>
  <si>
    <t>信报箱</t>
  </si>
  <si>
    <t>个/户</t>
  </si>
  <si>
    <t>公共部位精装修</t>
  </si>
  <si>
    <t>5001.05.02.01</t>
  </si>
  <si>
    <t>大堂精装修/入口门厅装修</t>
  </si>
  <si>
    <t>5001.05.02.01.01</t>
  </si>
  <si>
    <t>大堂精装修/入口门厅装修总包</t>
  </si>
  <si>
    <t>m2/个</t>
  </si>
  <si>
    <t>5001.05.02.01.02</t>
  </si>
  <si>
    <t>大堂精装修/入口门厅瓷砖甲供材</t>
  </si>
  <si>
    <t>5001.05.02.01.03</t>
  </si>
  <si>
    <t>大堂精装修/入口门厅涂料甲供材</t>
  </si>
  <si>
    <t>5001.05.02.01.04</t>
  </si>
  <si>
    <t>大堂精装修/入口门厅空调</t>
  </si>
  <si>
    <t>5001.05.02.01.05</t>
  </si>
  <si>
    <t>大堂精装修/入口门厅软装（甲供材）</t>
  </si>
  <si>
    <t>5001.05.02.01.06</t>
  </si>
  <si>
    <t>大堂精装修/入口门厅软装</t>
  </si>
  <si>
    <t>5001.05.02.02</t>
  </si>
  <si>
    <t>地下室大堂装修</t>
  </si>
  <si>
    <t>5001.05.02.02.01</t>
  </si>
  <si>
    <t>地下大堂精装修总包</t>
  </si>
  <si>
    <t>5001.05.02.02.02</t>
  </si>
  <si>
    <t>地下大堂瓷砖甲供材</t>
  </si>
  <si>
    <t>5001.05.02.02.03</t>
  </si>
  <si>
    <t>地下大堂涂料甲供材</t>
  </si>
  <si>
    <t>5001.05.02.02.04</t>
  </si>
  <si>
    <t>地下大堂空调</t>
  </si>
  <si>
    <t>5001.05.02.02.05</t>
  </si>
  <si>
    <t>地下大堂软装</t>
  </si>
  <si>
    <t>5001.05.02.03</t>
  </si>
  <si>
    <t>中庭装修硬装</t>
  </si>
  <si>
    <t>5001.05.02.04</t>
  </si>
  <si>
    <t>架空层泛大堂装修</t>
  </si>
  <si>
    <t>5001.05.02.05</t>
  </si>
  <si>
    <t>楼梯间装修</t>
  </si>
  <si>
    <t>m2/层</t>
  </si>
  <si>
    <t>5001.05.02.06</t>
  </si>
  <si>
    <t>标准层电梯厅装修</t>
  </si>
  <si>
    <t>5001.05.02.06.01</t>
  </si>
  <si>
    <t>标准层电梯厅装修总包</t>
  </si>
  <si>
    <t>层数-1</t>
  </si>
  <si>
    <t>5001.05.02.06.02</t>
  </si>
  <si>
    <t>标准层电梯厅瓷砖甲供材</t>
  </si>
  <si>
    <t>5001.05.02.06.03</t>
  </si>
  <si>
    <t>标准层电梯厅涂料甲供材</t>
  </si>
  <si>
    <t>5001.05.02.06.04</t>
  </si>
  <si>
    <t>标准层电梯厅瓷砖粘结剂甲供材</t>
  </si>
  <si>
    <t>5001.05.02.07</t>
  </si>
  <si>
    <t>电梯轿厢装修</t>
  </si>
  <si>
    <t>5001.05.02.08</t>
  </si>
  <si>
    <t>扶梯装修</t>
  </si>
  <si>
    <t>5001.05.02.09</t>
  </si>
  <si>
    <t>租赁区走廊装修</t>
  </si>
  <si>
    <t>5001.05.02.10</t>
  </si>
  <si>
    <t>经营性物业内置家私及饰品</t>
  </si>
  <si>
    <t>5001.05.03.01</t>
  </si>
  <si>
    <t>楼宇智能化系统费用</t>
  </si>
  <si>
    <t>5001.05.03.01.01</t>
  </si>
  <si>
    <t>居家防盗系统费用</t>
  </si>
  <si>
    <t>5001.05.03.01.02</t>
  </si>
  <si>
    <t>宽带网络费用</t>
  </si>
  <si>
    <t>5001.05.03.01.03</t>
  </si>
  <si>
    <t>有线电视费用</t>
  </si>
  <si>
    <t>5001.05.03.01.04</t>
  </si>
  <si>
    <t>三表远传费用</t>
  </si>
  <si>
    <t>5001.05.03.01.05</t>
  </si>
  <si>
    <t>对讲系统安装</t>
  </si>
  <si>
    <t>5001.05.03.01.06</t>
  </si>
  <si>
    <t>对讲设备甲供材</t>
  </si>
  <si>
    <t>5001.05.03.01.07</t>
  </si>
  <si>
    <t>电话系统费用</t>
  </si>
  <si>
    <t>5001.05.03.01.08</t>
  </si>
  <si>
    <t>其他（室内弱电系统类）</t>
  </si>
  <si>
    <t>5001.05.03.02</t>
  </si>
  <si>
    <t>酒店管理系统费用</t>
  </si>
  <si>
    <t>5001.05.03.03</t>
  </si>
  <si>
    <t>商业信息化管理系统费用</t>
  </si>
  <si>
    <t>5001.05.04.01</t>
  </si>
  <si>
    <t>新风系统</t>
  </si>
  <si>
    <t>5001.05.04.02</t>
  </si>
  <si>
    <t>太阳能设备及安装</t>
  </si>
  <si>
    <t>5001.05.04.03</t>
  </si>
  <si>
    <t>直饮水设备及安装</t>
  </si>
  <si>
    <t>5001.05.04.04</t>
  </si>
  <si>
    <t>降噪隔音系统</t>
  </si>
  <si>
    <t>5001.05.04.05</t>
  </si>
  <si>
    <t>绿色建筑</t>
  </si>
  <si>
    <t>5001.05.04.06</t>
  </si>
  <si>
    <t>垃圾设备及安装</t>
  </si>
  <si>
    <t>5001.05.04.07</t>
  </si>
  <si>
    <t>楼体户外信息发布系统</t>
  </si>
  <si>
    <t>5001.05.04.08</t>
  </si>
  <si>
    <t>5001.05.04.09</t>
  </si>
  <si>
    <t>洗衣服务设备及安装</t>
  </si>
  <si>
    <t>5001.05.04.10</t>
  </si>
  <si>
    <t>中水（含室内）系统</t>
  </si>
  <si>
    <t>5001.05.04.11</t>
  </si>
  <si>
    <t>其他（环保类）</t>
  </si>
  <si>
    <t>5~7</t>
  </si>
  <si>
    <t xml:space="preserve">   水泥砂浆楼地面</t>
  </si>
  <si>
    <t xml:space="preserve">  室内墙面抹面</t>
  </si>
  <si>
    <t xml:space="preserve">  室外墙面抹面</t>
  </si>
  <si>
    <t xml:space="preserve">   墙面挂钢丝网</t>
  </si>
  <si>
    <t xml:space="preserve">    厨卫墙面防水甲供材</t>
  </si>
  <si>
    <t xml:space="preserve">    厨卫地面防水甲供材</t>
  </si>
  <si>
    <t xml:space="preserve">    阳台地面防水甲供材</t>
  </si>
  <si>
    <t xml:space="preserve">    厨卫墙面防水施工</t>
  </si>
  <si>
    <t xml:space="preserve">    厨卫地面防水施工</t>
  </si>
  <si>
    <t xml:space="preserve">    阳台地面防水施工</t>
  </si>
  <si>
    <t xml:space="preserve">    综合脚手架</t>
  </si>
  <si>
    <t xml:space="preserve">    里脚手架</t>
  </si>
  <si>
    <t xml:space="preserve">    垂直运输</t>
  </si>
  <si>
    <t xml:space="preserve">    技术措施费用</t>
  </si>
  <si>
    <t xml:space="preserve">    弹料甲供材</t>
  </si>
  <si>
    <t xml:space="preserve">    弹料施工</t>
  </si>
  <si>
    <t>公共卫生间</t>
  </si>
  <si>
    <t>公寓</t>
  </si>
  <si>
    <t xml:space="preserve">    真石漆施工</t>
  </si>
  <si>
    <t>入户门(刷卡电子锁)</t>
  </si>
  <si>
    <t>首层地坪及找平</t>
  </si>
  <si>
    <t xml:space="preserve">    墙面防水甲供材</t>
  </si>
  <si>
    <t>m2/栋</t>
  </si>
  <si>
    <t xml:space="preserve">    地面防水甲供材</t>
  </si>
  <si>
    <t xml:space="preserve">    墙面防水施工</t>
  </si>
  <si>
    <t xml:space="preserve">    地面防水施工</t>
  </si>
  <si>
    <t>首层楼板保温施工</t>
  </si>
  <si>
    <t xml:space="preserve">    平料甲供材</t>
  </si>
  <si>
    <t xml:space="preserve">    平料施工</t>
  </si>
  <si>
    <t>m/栋</t>
  </si>
  <si>
    <t>樘/单元</t>
  </si>
  <si>
    <t>入户门（玻璃门）</t>
  </si>
  <si>
    <t>地下车库</t>
  </si>
  <si>
    <t>地库混凝土施工（含乙供材）</t>
  </si>
  <si>
    <t>5001.03.01.03.01.03</t>
  </si>
  <si>
    <t>塔楼混凝土施工（含乙供材）</t>
  </si>
  <si>
    <t>地库钢筋施工（含乙供材）</t>
  </si>
  <si>
    <t>5001.03.01.03.02.03</t>
  </si>
  <si>
    <t>塔楼钢筋施工（含乙供材）</t>
  </si>
  <si>
    <t>底板垫层</t>
  </si>
  <si>
    <t>细石混凝土楼地面</t>
  </si>
  <si>
    <t>5001.03.01.03.06.06</t>
  </si>
  <si>
    <t>墙柱、顶面、地面乳胶漆/环氧地坪</t>
  </si>
  <si>
    <t>墙面防水</t>
  </si>
  <si>
    <t>顶板防水</t>
  </si>
  <si>
    <t>地面防水</t>
  </si>
  <si>
    <t>阳台防水</t>
  </si>
  <si>
    <t>墙面防水施工</t>
  </si>
  <si>
    <t>顶板防水施工</t>
  </si>
  <si>
    <t>其他防水施工</t>
  </si>
  <si>
    <t>传统保温砂浆</t>
  </si>
  <si>
    <t>保温板增加费</t>
  </si>
  <si>
    <t>室内给排水系统其它</t>
  </si>
  <si>
    <t>非标箱甲供材</t>
  </si>
  <si>
    <t>厨房电器采购</t>
  </si>
  <si>
    <t>厨房电器采购供货合同</t>
  </si>
  <si>
    <t>5001.04.01.16</t>
  </si>
  <si>
    <t>16）</t>
  </si>
  <si>
    <t>其他室内精装修甲供材</t>
  </si>
  <si>
    <t>其他室内精装修甲供材合同</t>
  </si>
  <si>
    <t>5001.04.01.17</t>
  </si>
  <si>
    <t>17）</t>
  </si>
  <si>
    <t>其他室内精装修甲分包</t>
  </si>
  <si>
    <t>其他室内精装修甲分包合同</t>
  </si>
  <si>
    <t>其他（坡道入口）</t>
  </si>
  <si>
    <t>地下车位单方成本</t>
  </si>
  <si>
    <t>不含税单方</t>
  </si>
  <si>
    <t>综合税率</t>
  </si>
  <si>
    <t>地库公摊成本</t>
  </si>
  <si>
    <t>公摊地库系数</t>
  </si>
  <si>
    <t>配套测算</t>
  </si>
  <si>
    <t xml:space="preserve">    安全文明及实测实量费用</t>
  </si>
  <si>
    <t>室内电气系统其它</t>
  </si>
  <si>
    <t>m2/樘</t>
  </si>
  <si>
    <t>说明：</t>
  </si>
  <si>
    <t>1：以下内容为项目合约规划分类（即合约包分类），除行政费及资本化利息外，合约包名称、类别等均与系统对应；</t>
  </si>
  <si>
    <r>
      <rPr>
        <sz val="10"/>
        <rFont val="宋体"/>
        <charset val="134"/>
      </rPr>
      <t>2：由于系统中的合约包在12年制定过程中存在一些问题，但目前在系统中不便修改，会产生合约名称与实际包含呢容或合约类别不相符，此类情况已在“</t>
    </r>
    <r>
      <rPr>
        <sz val="10"/>
        <color rgb="FFFF0000"/>
        <rFont val="宋体"/>
        <charset val="134"/>
      </rPr>
      <t>备注</t>
    </r>
    <r>
      <rPr>
        <sz val="10"/>
        <rFont val="宋体"/>
        <charset val="134"/>
      </rPr>
      <t>”栏中注明。</t>
    </r>
  </si>
  <si>
    <t>行政费</t>
  </si>
  <si>
    <t>行政费。系统无此合约包，在表格版中暂以此条目体现。</t>
  </si>
  <si>
    <t>资本化利息。系统无此合约包，在表格版中暂以此条目体现。</t>
  </si>
  <si>
    <t>合约规划名称</t>
  </si>
  <si>
    <t>说明</t>
  </si>
  <si>
    <t>防腐木挂瓦条采购合同</t>
  </si>
  <si>
    <t>TEST1</t>
  </si>
  <si>
    <t>由于原系统名称不能更改，此处代表屋面材料采购的合约包</t>
  </si>
  <si>
    <t>外墙饰材采购合同</t>
  </si>
  <si>
    <t>TEST3</t>
  </si>
  <si>
    <t>发电机采购及安装合同</t>
  </si>
  <si>
    <t>TEST8</t>
  </si>
  <si>
    <t>含发电机灭火、降噪</t>
  </si>
  <si>
    <t>景观部品零星采购合同</t>
  </si>
  <si>
    <t>TEST12</t>
  </si>
  <si>
    <t>防水材料采购合同</t>
  </si>
  <si>
    <t>TEST13</t>
  </si>
  <si>
    <t>系统原因，防水的采购及施工都用采购合同的合约包</t>
  </si>
  <si>
    <t>保温板采购合同</t>
  </si>
  <si>
    <t>TEST14</t>
  </si>
  <si>
    <t>专指保温材料甲供，总包施工的保温，如挤塑聚苯板采购合同和保温砂浆采购合同</t>
  </si>
  <si>
    <t>外墙装饰构件采购及安装合同</t>
  </si>
  <si>
    <t>TEST15</t>
  </si>
  <si>
    <t>户内装修甲供料采购合同</t>
  </si>
  <si>
    <t>TEST16</t>
  </si>
  <si>
    <t>公共部位装修甲供料采购合同</t>
  </si>
  <si>
    <t>TEST17</t>
  </si>
  <si>
    <t>屋面瓦采购或制安合同</t>
  </si>
  <si>
    <t>TEST19</t>
  </si>
  <si>
    <t>专指特殊屋面装饰且甲分包时的屋面材料供应及施工工程，非此类的均归属合约1与合约48</t>
  </si>
  <si>
    <t>机械车位采购及安装合同</t>
  </si>
  <si>
    <t>TEST20</t>
  </si>
  <si>
    <t>电梯采购安装合同</t>
  </si>
  <si>
    <t>TEST21</t>
  </si>
  <si>
    <t>防火门采购安装合同</t>
  </si>
  <si>
    <t>TEST22</t>
  </si>
  <si>
    <r>
      <rPr>
        <sz val="10"/>
        <rFont val="Arial"/>
        <charset val="134"/>
      </rPr>
      <t>5</t>
    </r>
    <r>
      <rPr>
        <sz val="10"/>
        <rFont val="宋体"/>
        <charset val="134"/>
      </rPr>
      <t>月30日版本没有，6月版本新增</t>
    </r>
  </si>
  <si>
    <t>变频设备采购合同</t>
  </si>
  <si>
    <t>TEST23</t>
  </si>
  <si>
    <t>桥架采购合同</t>
  </si>
  <si>
    <t>TEST24</t>
  </si>
  <si>
    <t>给水管采购合同</t>
  </si>
  <si>
    <t>TEST25</t>
  </si>
  <si>
    <t>PVC、UPVC管采购合同</t>
  </si>
  <si>
    <t>TEST26</t>
  </si>
  <si>
    <t>电线电缆采购合同</t>
  </si>
  <si>
    <t>TEST28</t>
  </si>
  <si>
    <t>配电箱柜采购合同</t>
  </si>
  <si>
    <t>TEST29</t>
  </si>
  <si>
    <t>泳池设备采购合同</t>
  </si>
  <si>
    <t>TEST30</t>
  </si>
  <si>
    <t>含水处理工程合同</t>
  </si>
  <si>
    <t>其他材料设备采购</t>
  </si>
  <si>
    <t>TEST32</t>
  </si>
  <si>
    <r>
      <rPr>
        <sz val="9"/>
        <color theme="1"/>
        <rFont val="宋体"/>
        <charset val="134"/>
      </rPr>
      <t>C</t>
    </r>
    <r>
      <rPr>
        <sz val="9"/>
        <color indexed="8"/>
        <rFont val="宋体"/>
        <charset val="134"/>
      </rPr>
      <t>L砂浆采购</t>
    </r>
  </si>
  <si>
    <t>TEST33</t>
  </si>
  <si>
    <t>景观工程合同</t>
  </si>
  <si>
    <t>环境</t>
  </si>
  <si>
    <t>TEST36</t>
  </si>
  <si>
    <t>地质勘察合同</t>
  </si>
  <si>
    <t>TEST40</t>
  </si>
  <si>
    <t>概念、方案设计合同</t>
  </si>
  <si>
    <t>TEST45</t>
  </si>
  <si>
    <t>施工图设计合同</t>
  </si>
  <si>
    <t>TEST46</t>
  </si>
  <si>
    <t>二次深化设计合同</t>
  </si>
  <si>
    <t>TEST47</t>
  </si>
  <si>
    <t>景观概念、方案设计合同</t>
  </si>
  <si>
    <t>TEST48</t>
  </si>
  <si>
    <t xml:space="preserve">景观施工图设计合同    </t>
  </si>
  <si>
    <t>TEST49</t>
  </si>
  <si>
    <t>精装修设计合同</t>
  </si>
  <si>
    <t>TEST50</t>
  </si>
  <si>
    <t>结构咨询合同</t>
  </si>
  <si>
    <t>TEST57</t>
  </si>
  <si>
    <t>设计技术咨询合同</t>
  </si>
  <si>
    <t>TEST58</t>
  </si>
  <si>
    <t>晒图费用合同</t>
  </si>
  <si>
    <t>TEST59</t>
  </si>
  <si>
    <t>效果图费用合同</t>
  </si>
  <si>
    <t>TEST60</t>
  </si>
  <si>
    <t>工作模型制作费用合同</t>
  </si>
  <si>
    <t>TEST61</t>
  </si>
  <si>
    <t>建筑研究费用合同</t>
  </si>
  <si>
    <t>TEST62</t>
  </si>
  <si>
    <t>综合报建费</t>
  </si>
  <si>
    <t>TEST63</t>
  </si>
  <si>
    <t>其它三通一平合同</t>
  </si>
  <si>
    <t>TEST88</t>
  </si>
  <si>
    <t>临时设施工程合同</t>
  </si>
  <si>
    <t>TEST89</t>
  </si>
  <si>
    <t>道路交通标示系统工程合同</t>
  </si>
  <si>
    <t>TEST92</t>
  </si>
  <si>
    <t>含各类标识、交通导视等</t>
  </si>
  <si>
    <t>小区供电工程合同</t>
  </si>
  <si>
    <t>TEST93</t>
  </si>
  <si>
    <t>供水工程合同</t>
  </si>
  <si>
    <t>TEST95</t>
  </si>
  <si>
    <t>零星工程合同</t>
  </si>
  <si>
    <t>TEST96</t>
  </si>
  <si>
    <t>智能化工程合同</t>
  </si>
  <si>
    <t>TEST101</t>
  </si>
  <si>
    <t>土方工程合同</t>
  </si>
  <si>
    <t>TEST102</t>
  </si>
  <si>
    <t>护坡、降水、地基处理工程合同</t>
  </si>
  <si>
    <t>TEST103</t>
  </si>
  <si>
    <t>由于原系统名称不能更改，此合约包包含了基坑、软基、防沉降、桩基、桩基纠偏等</t>
  </si>
  <si>
    <t>基坑监测合同</t>
  </si>
  <si>
    <t>TEST104</t>
  </si>
  <si>
    <t>桩基检测合同</t>
  </si>
  <si>
    <t>TEST105</t>
  </si>
  <si>
    <t>总包工程合同</t>
  </si>
  <si>
    <t>TEST106</t>
  </si>
  <si>
    <t>TEST107</t>
  </si>
  <si>
    <t>保温工程合同</t>
  </si>
  <si>
    <t>TEST108</t>
  </si>
  <si>
    <t>专指保温板甲分包工程，非此类的均归属合约48与合约6</t>
  </si>
  <si>
    <t>绿色三星工程合同</t>
  </si>
  <si>
    <t>TEST109</t>
  </si>
  <si>
    <t>泛光照明工程合同</t>
  </si>
  <si>
    <t>TEST110</t>
  </si>
  <si>
    <t>栏杆工程合同</t>
  </si>
  <si>
    <t>TEST111</t>
  </si>
  <si>
    <t>涂料供货及施工合同</t>
  </si>
  <si>
    <t>TEST113</t>
  </si>
  <si>
    <t>幕墙施工合同</t>
  </si>
  <si>
    <t>TEST114</t>
  </si>
  <si>
    <t>信报箱制作安装合同</t>
  </si>
  <si>
    <t>TEST116</t>
  </si>
  <si>
    <t>入户门及五金供应及安装合同</t>
  </si>
  <si>
    <t>TEST117</t>
  </si>
  <si>
    <t>TEST118</t>
  </si>
  <si>
    <t>户内装修工程合同</t>
  </si>
  <si>
    <t>TEST119</t>
  </si>
  <si>
    <t>公共部位装修工程合同</t>
  </si>
  <si>
    <t>TEST120</t>
  </si>
  <si>
    <t>人防防护设施制作安装合同</t>
  </si>
  <si>
    <t>TEST122</t>
  </si>
  <si>
    <t>其他零星工程施工</t>
  </si>
  <si>
    <t>TEST123</t>
  </si>
  <si>
    <t>消防工程合同</t>
  </si>
  <si>
    <t>TEST125</t>
  </si>
  <si>
    <t>燃气工程合同</t>
  </si>
  <si>
    <t>TEST128</t>
  </si>
  <si>
    <t>建安装修不可预见费</t>
  </si>
  <si>
    <t>TEST146</t>
  </si>
  <si>
    <t>风险费。在表格版中暂做为预留费体现，系统中先直接归属至总包。</t>
  </si>
  <si>
    <t>土国有建设用地使用权转让合同</t>
  </si>
  <si>
    <t>TEST149</t>
  </si>
  <si>
    <t>TEST151</t>
  </si>
  <si>
    <t>地块周边市政工程合同</t>
  </si>
  <si>
    <t>TEST152</t>
  </si>
  <si>
    <t>监理合同</t>
  </si>
  <si>
    <t>TEST153</t>
  </si>
  <si>
    <t>工程专项检验合同</t>
  </si>
  <si>
    <t>TEST154</t>
  </si>
  <si>
    <t>工程保险合同</t>
  </si>
  <si>
    <t>TEST155</t>
  </si>
  <si>
    <t>造价咨询合同</t>
  </si>
  <si>
    <t>TEST157</t>
  </si>
  <si>
    <t>项目前期物业服务协议</t>
  </si>
  <si>
    <t>TEST158</t>
  </si>
  <si>
    <t>营销设施建造费合同</t>
  </si>
  <si>
    <t>TEST161</t>
  </si>
  <si>
    <t>单价调整表</t>
  </si>
  <si>
    <t>适用业态</t>
  </si>
  <si>
    <r>
      <rPr>
        <b/>
        <sz val="9"/>
        <rFont val="宋体"/>
        <charset val="134"/>
      </rPr>
      <t>即时综合单价（</t>
    </r>
    <r>
      <rPr>
        <b/>
        <sz val="9"/>
        <color rgb="FFFF0000"/>
        <rFont val="宋体"/>
        <charset val="134"/>
      </rPr>
      <t>与前表单有链接，测算后需回归初始值，避免目标被修订</t>
    </r>
    <r>
      <rPr>
        <b/>
        <sz val="9"/>
        <rFont val="宋体"/>
        <charset val="134"/>
      </rPr>
      <t>）</t>
    </r>
  </si>
  <si>
    <t>初始综合单价</t>
  </si>
  <si>
    <t>影响因素</t>
  </si>
  <si>
    <t>高层</t>
  </si>
  <si>
    <t>混凝土价格、人工费用</t>
  </si>
  <si>
    <t>钢筋价格、人工费用</t>
  </si>
  <si>
    <t>模板价格、人工费用</t>
  </si>
  <si>
    <t>砌体价格、人工费用</t>
  </si>
  <si>
    <t>水泥价格、沙子价格、人工费用</t>
  </si>
  <si>
    <t>人工工日费及油价表</t>
  </si>
  <si>
    <t xml:space="preserve">即时值 </t>
  </si>
  <si>
    <t xml:space="preserve">初始值 </t>
  </si>
  <si>
    <t>涨跌幅</t>
  </si>
  <si>
    <t>模板人工费</t>
  </si>
  <si>
    <t>人工费单位：元/工日，按5类人工算术平均值计算涨跌幅</t>
  </si>
  <si>
    <t>钢筋人工费</t>
  </si>
  <si>
    <t>混凝土人工费</t>
  </si>
  <si>
    <t>砌筑人工费</t>
  </si>
  <si>
    <t>抹灰人工费</t>
  </si>
  <si>
    <t>0#柴油</t>
  </si>
  <si>
    <r>
      <rPr>
        <sz val="9"/>
        <rFont val="宋体"/>
        <charset val="134"/>
      </rPr>
      <t>0#</t>
    </r>
    <r>
      <rPr>
        <sz val="9"/>
        <rFont val="宋体"/>
        <charset val="134"/>
      </rPr>
      <t>柴油单位单位元/升</t>
    </r>
  </si>
  <si>
    <t>人工费及运费变动情况</t>
  </si>
  <si>
    <t>初始数值 单位：万元</t>
  </si>
  <si>
    <r>
      <rPr>
        <sz val="9"/>
        <rFont val="宋体"/>
        <charset val="134"/>
      </rPr>
      <t>初始占比</t>
    </r>
    <r>
      <rPr>
        <sz val="9"/>
        <color rgb="FFFF0000"/>
        <rFont val="宋体"/>
        <charset val="134"/>
      </rPr>
      <t>（自行估算百分比）</t>
    </r>
  </si>
  <si>
    <t>影响初始成本金额 单位：万元</t>
  </si>
  <si>
    <t>调整系数</t>
  </si>
  <si>
    <t>调整值 单位：万元</t>
  </si>
  <si>
    <t>a=b*c</t>
  </si>
  <si>
    <t>b</t>
  </si>
  <si>
    <t>c</t>
  </si>
  <si>
    <t>d取自涨跌幅</t>
  </si>
  <si>
    <t>e=a*d</t>
  </si>
  <si>
    <t>人工、运费影响的初始成本C为建造成本，不含土地费用、开发管理费、资本化利息，建议为科目5001.02 5001.03 5001.04 5001.05 5001.06之和，再扣减单价调整表中对应科目总价格，所得值即为C值</t>
  </si>
  <si>
    <t>人工费</t>
  </si>
  <si>
    <t>运费</t>
  </si>
  <si>
    <t>总成本变动情况</t>
  </si>
  <si>
    <t>初始总成本(万元）</t>
  </si>
  <si>
    <t>原始单方指标（元/平米)</t>
  </si>
  <si>
    <t>即时总成本(万元）</t>
  </si>
  <si>
    <t>即时单方指标（元/平米)</t>
  </si>
  <si>
    <t>单方指标按可售面积指标，其值为理论模拟值，实际值因与施工周期、进场时间、合约条款相关，与理论值存在差异，理论值仅作为参考，辅助对动态成本的把握</t>
  </si>
  <si>
    <r>
      <rPr>
        <sz val="9"/>
        <rFont val="宋体"/>
        <charset val="134"/>
      </rPr>
      <t>1、黄色表格、橙色表格内容需手动填写，黄色表格</t>
    </r>
    <r>
      <rPr>
        <sz val="9"/>
        <color rgb="FFFF0000"/>
        <rFont val="宋体"/>
        <charset val="134"/>
      </rPr>
      <t>每次调整</t>
    </r>
    <r>
      <rPr>
        <sz val="9"/>
        <rFont val="宋体"/>
        <charset val="134"/>
      </rPr>
      <t>时都需填写，橙色表格初次填写完成之后即</t>
    </r>
    <r>
      <rPr>
        <sz val="9"/>
        <color rgb="FFFF0000"/>
        <rFont val="宋体"/>
        <charset val="134"/>
      </rPr>
      <t>不再改动其数值</t>
    </r>
  </si>
  <si>
    <t>2、初始值指第一次填表时的相应数值，即时值指后续每次填表时的相应数值</t>
  </si>
  <si>
    <t>3、人工、运费影响的初始成本为第一次填报时对应的建造成本至 ，不含土地费用、开发管理费、资本化利息</t>
  </si>
  <si>
    <t>4、人工费数值按工日费用，单位元/工日，每工日按正常8小时工作时</t>
  </si>
  <si>
    <t>5、综合单价按对应成本科目对应的单位填报数值</t>
  </si>
  <si>
    <t>6、成本变动情况中初始总成本为第一次填表时的总成本数值</t>
  </si>
  <si>
    <t>填表指引</t>
  </si>
  <si>
    <t>1、</t>
  </si>
  <si>
    <t>本表适用于新项目成本测算、项目定位成本测算、目标成本测算的统一格式。</t>
  </si>
  <si>
    <t>2、</t>
  </si>
  <si>
    <t>本表填报的主要责任部门为成本管理部。其中规划指标需设计部配合，建造标准按营销、设计、成本、工程等相关的部门的讨论结果确定；报批报建费根据项目发展部提供的《房地产税费一览表》及当地优惠政策进行填写，具体项目可根据当地的政策自行增加或删减。</t>
  </si>
  <si>
    <t>3、</t>
  </si>
  <si>
    <t>目标成本科目分类及代码应依据《万科集团成本核算指导》，且应保持一级至三级成本科目及代码的唯一性，四级及四级成本科目以下可根据项目的具体情况自行增减，但应与财务核算保持一致。</t>
  </si>
  <si>
    <t>4、</t>
  </si>
  <si>
    <t>开发间接费中的行政费用、资本化利息和期间费用，请财务部提供。</t>
  </si>
  <si>
    <t>5、</t>
  </si>
  <si>
    <t>成本测算时应根据量价分离的原则进行计算，并注明量、价的计算思路。新项目或项目定位时的成本测算如无法细分时，可根据当地已结算的同类工程直接填写总价和单价，但应注明参考项目的成本情况。</t>
  </si>
  <si>
    <t>6、</t>
  </si>
  <si>
    <t>成本汇总表的总价从各表自动取数，并根据项目的一般分摊原则设置了分摊公式（已在备注中说明），如不符合项目的实际情况请自行修改公式；</t>
  </si>
  <si>
    <t>7、</t>
  </si>
  <si>
    <t>项目规模较大或分期开发时，《目标成本测算》中的地价宜按各期或各产品类型的占地面积分摊（当期中的公共用地按各产品类型的可售面积比例分摊），以免因后期规划调整对已完工程的成本核算造成影响。</t>
  </si>
  <si>
    <t>8、</t>
  </si>
  <si>
    <t>可销售的商业网点为独立的核算对象时，应作为一种产品类型单独计算其主体建安成本和收益情况。</t>
  </si>
  <si>
    <t>9、</t>
  </si>
  <si>
    <t>地面车库、架空层车位、地下车库有产权可销售时应作为独立的核算对象，单独计算其主体建安成本，并至少应保留12M2对应的建安成本。如其不可售时，其建安成本应全部作为配套设施费全部摊销。</t>
  </si>
  <si>
    <t>10、</t>
  </si>
  <si>
    <t>新项目成本测算时，该表应以连同财务测算部分在新项目发展小组实地调研前两天用电子邮件发送到总部财务部成本组。并尽量提供如下资料：项目所在城市政府基准地价或标定地价、税收及优惠政策、政府房地产规费及优惠政策、该区域集团已有类似项目的结算成本、该城市类似项目概算指标、设计概算、投资估算指标等工程造价资料、拟签订土地合约及地价资料、城市水文地质及工程地质勘探资料等。</t>
  </si>
  <si>
    <t>11、</t>
  </si>
  <si>
    <t>表中各成本项目所包括的内容详见《万科集团目标成本实施细则》</t>
  </si>
  <si>
    <t>12、</t>
  </si>
  <si>
    <t>项目成本测算时，表中与规划有关的数据尽量从规划指标中引用采用公式计算，便于规划改变时自动计算。</t>
  </si>
  <si>
    <t>单价(元)</t>
  </si>
  <si>
    <t>合价(万元)</t>
  </si>
  <si>
    <t>对标消耗量系数</t>
  </si>
  <si>
    <t>对标单价</t>
  </si>
  <si>
    <t>对标与测算值差异说明</t>
  </si>
  <si>
    <t>对标值来源</t>
  </si>
  <si>
    <t>基建及管网：主体土建工程费</t>
  </si>
  <si>
    <t>1</t>
  </si>
  <si>
    <t>基础工程费</t>
  </si>
  <si>
    <t>土石方工程</t>
  </si>
  <si>
    <t xml:space="preserve">  土方挖运1</t>
  </si>
  <si>
    <t>建筑物用地面积(m2)</t>
  </si>
  <si>
    <t xml:space="preserve">  土方回填</t>
  </si>
  <si>
    <t>护壁护坡1</t>
  </si>
  <si>
    <t>基础</t>
  </si>
  <si>
    <t xml:space="preserve">  桩基础</t>
  </si>
  <si>
    <t xml:space="preserve">  桩基础检测</t>
  </si>
  <si>
    <t xml:space="preserve">2 </t>
  </si>
  <si>
    <t>结构及粗装修</t>
  </si>
  <si>
    <t>混凝土框架</t>
  </si>
  <si>
    <t xml:space="preserve">  水泥砂浆楼地面</t>
  </si>
  <si>
    <t>室内墙面砂浆抹面</t>
  </si>
  <si>
    <t>室外墙面砂浆抹面</t>
  </si>
  <si>
    <t xml:space="preserve">  内外墙面挂钢丝网</t>
  </si>
  <si>
    <t xml:space="preserve">  外墙涂料施工费</t>
  </si>
  <si>
    <t xml:space="preserve">  外墙面砖施工费</t>
  </si>
  <si>
    <t>防水</t>
  </si>
  <si>
    <t xml:space="preserve">  卫生间墙面防水</t>
  </si>
  <si>
    <t xml:space="preserve">  卫生间地面防水</t>
  </si>
  <si>
    <t xml:space="preserve">  阳台地面防水</t>
  </si>
  <si>
    <t xml:space="preserve"> 首层地面防水</t>
  </si>
  <si>
    <t xml:space="preserve">  屋面防水</t>
  </si>
  <si>
    <t xml:space="preserve"> 零星防水</t>
  </si>
  <si>
    <t>措施费</t>
  </si>
  <si>
    <t>其它措施包干</t>
  </si>
  <si>
    <t>变更、签证</t>
  </si>
  <si>
    <t>建筑保温</t>
  </si>
  <si>
    <t>其它零星</t>
  </si>
  <si>
    <t>基建及管网：主体安装工程费</t>
  </si>
  <si>
    <t>室内水暖气电</t>
  </si>
  <si>
    <t>室内给排水</t>
  </si>
  <si>
    <t xml:space="preserve">     总包给排水</t>
  </si>
  <si>
    <t xml:space="preserve">     给水甲供材</t>
  </si>
  <si>
    <t xml:space="preserve">     排水管材</t>
  </si>
  <si>
    <t>室内采暖系统</t>
  </si>
  <si>
    <t>室内电气工程</t>
  </si>
  <si>
    <t xml:space="preserve">    总包电气</t>
  </si>
  <si>
    <t xml:space="preserve">    PVC穿线管</t>
  </si>
  <si>
    <t xml:space="preserve">    电线</t>
  </si>
  <si>
    <t xml:space="preserve">    室内公共灯具</t>
  </si>
  <si>
    <t xml:space="preserve">    室内公共配电箱</t>
  </si>
  <si>
    <t>设备及安装费</t>
  </si>
  <si>
    <t>空调</t>
  </si>
  <si>
    <t>电梯供货及安装</t>
  </si>
  <si>
    <t>扶梯供货及安装</t>
  </si>
  <si>
    <t>消防系统</t>
  </si>
  <si>
    <t>装饰及环保费</t>
  </si>
  <si>
    <t>外立面装修</t>
  </si>
  <si>
    <t xml:space="preserve">  面砖</t>
  </si>
  <si>
    <t>普通涂料</t>
  </si>
  <si>
    <t xml:space="preserve">  仿石涂料</t>
  </si>
  <si>
    <t xml:space="preserve">  石材</t>
  </si>
  <si>
    <t xml:space="preserve">  阳露台雨篷</t>
  </si>
  <si>
    <t xml:space="preserve">  外立面钢构件</t>
  </si>
  <si>
    <t xml:space="preserve">  外立面零星装饰</t>
  </si>
  <si>
    <t xml:space="preserve">  外立面玻璃幕墙</t>
  </si>
  <si>
    <t>栏杆</t>
  </si>
  <si>
    <t>防火门</t>
  </si>
  <si>
    <t xml:space="preserve">公共部位装修  </t>
  </si>
  <si>
    <t>首层大堂精装修</t>
  </si>
  <si>
    <t>中庭装修</t>
  </si>
  <si>
    <t>楼梯间</t>
  </si>
  <si>
    <t>电梯厅装修</t>
  </si>
  <si>
    <t>营运物业内置家私及饰品</t>
  </si>
  <si>
    <t>家私及部品</t>
  </si>
  <si>
    <t>精装修分离体系增加费</t>
  </si>
  <si>
    <t>楼宇智能化</t>
  </si>
  <si>
    <t>酒店管理系统</t>
  </si>
  <si>
    <t>商业信息化管理系统</t>
  </si>
  <si>
    <t>空调系统</t>
  </si>
  <si>
    <t>营运物业改造费</t>
  </si>
  <si>
    <t>营运物业开办费</t>
  </si>
  <si>
    <t>工程量</t>
  </si>
  <si>
    <t>主体建筑工程费</t>
  </si>
  <si>
    <t>地基处理费用</t>
  </si>
  <si>
    <t>桩基础工程费</t>
  </si>
  <si>
    <t>灌注桩基础</t>
  </si>
  <si>
    <t>桩基检测</t>
  </si>
  <si>
    <t xml:space="preserve">  室内外墙面砂浆抹面</t>
  </si>
  <si>
    <t>外墙涂料</t>
  </si>
  <si>
    <t>外墙瓷砖</t>
  </si>
  <si>
    <t xml:space="preserve">  一楼防水</t>
  </si>
  <si>
    <t xml:space="preserve">  卫生间墙地面防水</t>
  </si>
  <si>
    <t xml:space="preserve">  零星防水</t>
  </si>
  <si>
    <t>厨房烟道</t>
  </si>
  <si>
    <t xml:space="preserve">  卫生间烟道</t>
  </si>
  <si>
    <t>3</t>
  </si>
  <si>
    <t>单元雨蓬</t>
  </si>
  <si>
    <t>管井门</t>
  </si>
  <si>
    <t>塑钢门窗</t>
  </si>
  <si>
    <t>4</t>
  </si>
  <si>
    <t>大堂精装修</t>
  </si>
  <si>
    <t>外立面装修－瓷砖</t>
  </si>
  <si>
    <t>外立面装修－涂料</t>
  </si>
  <si>
    <t>公共走道装修</t>
  </si>
  <si>
    <t>屋面</t>
  </si>
  <si>
    <t>保温</t>
  </si>
  <si>
    <t>5</t>
  </si>
  <si>
    <r>
      <rPr>
        <b/>
        <sz val="9"/>
        <color indexed="62"/>
        <rFont val="宋体"/>
        <charset val="134"/>
      </rPr>
      <t>四</t>
    </r>
    <r>
      <rPr>
        <b/>
        <sz val="9"/>
        <color indexed="12"/>
        <rFont val="宋体"/>
        <charset val="134"/>
      </rPr>
      <t xml:space="preserve"> </t>
    </r>
  </si>
  <si>
    <t>主体安装工程费</t>
  </si>
  <si>
    <r>
      <rPr>
        <sz val="9"/>
        <color indexed="21"/>
        <rFont val="宋体"/>
        <charset val="134"/>
      </rPr>
      <t xml:space="preserve">     </t>
    </r>
    <r>
      <rPr>
        <sz val="10"/>
        <rFont val="宋体"/>
        <charset val="134"/>
      </rPr>
      <t>总包给排水</t>
    </r>
  </si>
  <si>
    <r>
      <rPr>
        <sz val="9"/>
        <color indexed="21"/>
        <rFont val="宋体"/>
        <charset val="134"/>
      </rPr>
      <t xml:space="preserve">     给</t>
    </r>
    <r>
      <rPr>
        <sz val="10"/>
        <rFont val="宋体"/>
        <charset val="134"/>
      </rPr>
      <t>水甲供材</t>
    </r>
  </si>
  <si>
    <r>
      <rPr>
        <sz val="9"/>
        <color indexed="21"/>
        <rFont val="宋体"/>
        <charset val="134"/>
      </rPr>
      <t xml:space="preserve">     </t>
    </r>
    <r>
      <rPr>
        <sz val="10"/>
        <rFont val="宋体"/>
        <charset val="134"/>
      </rPr>
      <t>排水管材</t>
    </r>
  </si>
  <si>
    <t xml:space="preserve">     加压设备</t>
  </si>
  <si>
    <t xml:space="preserve">     水表</t>
  </si>
  <si>
    <t>室内燃气系统</t>
  </si>
  <si>
    <r>
      <rPr>
        <sz val="9"/>
        <rFont val="宋体"/>
        <charset val="134"/>
      </rPr>
      <t xml:space="preserve">    </t>
    </r>
    <r>
      <rPr>
        <sz val="10"/>
        <rFont val="宋体"/>
        <charset val="134"/>
      </rPr>
      <t>总包电气</t>
    </r>
  </si>
  <si>
    <r>
      <rPr>
        <sz val="9"/>
        <rFont val="宋体"/>
        <charset val="134"/>
      </rPr>
      <t xml:space="preserve">    </t>
    </r>
    <r>
      <rPr>
        <sz val="10"/>
        <rFont val="宋体"/>
        <charset val="134"/>
      </rPr>
      <t>穿线管</t>
    </r>
  </si>
  <si>
    <t xml:space="preserve">    弱电箱</t>
  </si>
  <si>
    <t xml:space="preserve">    户配电箱</t>
  </si>
  <si>
    <t>18层电梯</t>
  </si>
  <si>
    <t>地暖</t>
  </si>
  <si>
    <t xml:space="preserve">3 </t>
  </si>
  <si>
    <t>弱电系统</t>
  </si>
  <si>
    <t>含弱电管线</t>
  </si>
  <si>
    <t>电子可视对讲,</t>
  </si>
  <si>
    <t>黑白可视对讲</t>
  </si>
  <si>
    <t>居家报警</t>
  </si>
  <si>
    <t>集中抄表</t>
  </si>
  <si>
    <t>设计指标分级</t>
  </si>
  <si>
    <t>配置价格分级</t>
  </si>
  <si>
    <t>级配说明</t>
  </si>
  <si>
    <t>产品信息</t>
  </si>
  <si>
    <t>级配等级</t>
  </si>
  <si>
    <t>C</t>
  </si>
  <si>
    <t>TOP</t>
  </si>
  <si>
    <t>A</t>
  </si>
  <si>
    <t>B</t>
  </si>
  <si>
    <t>D</t>
  </si>
  <si>
    <t>建筑信息</t>
  </si>
  <si>
    <t>电梯配置</t>
  </si>
  <si>
    <t>标准层高</t>
  </si>
  <si>
    <t>标准层户数</t>
  </si>
  <si>
    <t>架空层高</t>
  </si>
  <si>
    <t>建造面积</t>
  </si>
  <si>
    <t>总层数</t>
  </si>
  <si>
    <t>总户数</t>
  </si>
  <si>
    <t>是否有转换层</t>
  </si>
  <si>
    <t>有</t>
  </si>
  <si>
    <t>无</t>
  </si>
  <si>
    <t>单体层数</t>
  </si>
  <si>
    <t>架空层层高</t>
  </si>
  <si>
    <t>室内精装修</t>
  </si>
  <si>
    <t>可售单方
(元/M2)</t>
  </si>
  <si>
    <t>适配选型</t>
  </si>
  <si>
    <t>土方工程</t>
  </si>
  <si>
    <t xml:space="preserve">  土方挖运</t>
  </si>
  <si>
    <t>桩基静载检测费</t>
  </si>
  <si>
    <t>桩基动载检测费</t>
  </si>
  <si>
    <t xml:space="preserve">  混凝土</t>
  </si>
  <si>
    <t xml:space="preserve">  钢筋</t>
  </si>
  <si>
    <t xml:space="preserve">  模板</t>
  </si>
  <si>
    <t>建筑面积(m3)</t>
  </si>
  <si>
    <t xml:space="preserve">  综合措施费用</t>
  </si>
  <si>
    <t xml:space="preserve">  变更、签证</t>
  </si>
  <si>
    <t xml:space="preserve">  外保温</t>
  </si>
  <si>
    <t xml:space="preserve">  内保温</t>
  </si>
  <si>
    <t xml:space="preserve">  厨房烟道</t>
  </si>
  <si>
    <t>住宅户数(户)</t>
  </si>
  <si>
    <r>
      <rPr>
        <sz val="9"/>
        <rFont val="宋体"/>
        <charset val="134"/>
      </rPr>
      <t>给</t>
    </r>
    <r>
      <rPr>
        <sz val="10"/>
        <rFont val="宋体"/>
        <charset val="134"/>
      </rPr>
      <t>水PPR管</t>
    </r>
  </si>
  <si>
    <t>给水衬塑复合钢管</t>
  </si>
  <si>
    <r>
      <rPr>
        <sz val="9"/>
        <rFont val="宋体"/>
        <charset val="134"/>
      </rPr>
      <t xml:space="preserve">     PVC</t>
    </r>
    <r>
      <rPr>
        <sz val="10"/>
        <rFont val="宋体"/>
        <charset val="134"/>
      </rPr>
      <t>排水管材</t>
    </r>
  </si>
  <si>
    <r>
      <rPr>
        <sz val="9"/>
        <rFont val="宋体"/>
        <charset val="134"/>
      </rPr>
      <t xml:space="preserve">     铸铁</t>
    </r>
    <r>
      <rPr>
        <sz val="10"/>
        <rFont val="宋体"/>
        <charset val="134"/>
      </rPr>
      <t>排水管材</t>
    </r>
  </si>
  <si>
    <t>阀门</t>
  </si>
  <si>
    <t>水表</t>
  </si>
  <si>
    <t xml:space="preserve">  地采暖工程</t>
  </si>
  <si>
    <t xml:space="preserve">  电散热器采购</t>
  </si>
  <si>
    <r>
      <rPr>
        <sz val="9"/>
        <rFont val="宋体"/>
        <charset val="134"/>
      </rPr>
      <t xml:space="preserve">    PVC</t>
    </r>
    <r>
      <rPr>
        <sz val="10"/>
        <rFont val="宋体"/>
        <charset val="134"/>
      </rPr>
      <t>穿线管</t>
    </r>
  </si>
  <si>
    <t xml:space="preserve">    户内配电箱</t>
  </si>
  <si>
    <t>通风空调系统及安装</t>
  </si>
  <si>
    <t>通风管道</t>
  </si>
  <si>
    <t xml:space="preserve">  34层电梯</t>
  </si>
  <si>
    <t>系数据图计算</t>
  </si>
  <si>
    <t>35层以下单元</t>
  </si>
  <si>
    <t xml:space="preserve">  外立面夜景灯光</t>
  </si>
  <si>
    <t>楼栋数(栋)</t>
  </si>
  <si>
    <t xml:space="preserve">  楼梯扶手或栏杆</t>
  </si>
  <si>
    <t>总层数(层)</t>
  </si>
  <si>
    <t>m/m2</t>
  </si>
  <si>
    <t xml:space="preserve">  阳、露台栏杆</t>
  </si>
  <si>
    <r>
      <rPr>
        <sz val="9"/>
        <rFont val="宋体"/>
        <charset val="134"/>
      </rPr>
      <t xml:space="preserve">  </t>
    </r>
    <r>
      <rPr>
        <sz val="10"/>
        <rFont val="宋体"/>
        <charset val="134"/>
      </rPr>
      <t>私家花园栏杆</t>
    </r>
  </si>
  <si>
    <t>（私家花园）户数(户)</t>
  </si>
  <si>
    <r>
      <rPr>
        <sz val="9"/>
        <rFont val="宋体"/>
        <charset val="134"/>
      </rPr>
      <t xml:space="preserve">  </t>
    </r>
    <r>
      <rPr>
        <sz val="10"/>
        <rFont val="宋体"/>
        <charset val="134"/>
      </rPr>
      <t>私家花园小院门</t>
    </r>
  </si>
  <si>
    <t xml:space="preserve">  低窗护栏</t>
  </si>
  <si>
    <t xml:space="preserve">  空调百叶</t>
  </si>
  <si>
    <t xml:space="preserve">  烟道百叶</t>
  </si>
  <si>
    <t xml:space="preserve">  其它零星钢制百叶</t>
  </si>
  <si>
    <t>单元门</t>
  </si>
  <si>
    <t>单元数(樘)</t>
  </si>
  <si>
    <t>装甲门</t>
  </si>
  <si>
    <t xml:space="preserve">  普通防火门</t>
  </si>
  <si>
    <t>樘/层</t>
  </si>
  <si>
    <t xml:space="preserve">  管道井门</t>
  </si>
  <si>
    <t xml:space="preserve">  塑钢门窗</t>
  </si>
  <si>
    <t>建筑面积*(1+赠送面积比)(m2)</t>
  </si>
  <si>
    <t xml:space="preserve">  上人屋面瓷砖</t>
  </si>
  <si>
    <t>建筑物基底面积(m2)</t>
  </si>
  <si>
    <t xml:space="preserve">  每户标牌</t>
  </si>
  <si>
    <t xml:space="preserve">  楼层标牌</t>
  </si>
  <si>
    <t>套/层</t>
  </si>
  <si>
    <t xml:space="preserve">  楼栋标牌</t>
  </si>
  <si>
    <t>套/栋</t>
  </si>
  <si>
    <t xml:space="preserve">  信报箱</t>
  </si>
  <si>
    <t xml:space="preserve">  地面</t>
  </si>
  <si>
    <t>单元数(个)</t>
  </si>
  <si>
    <t>系数据图修正</t>
  </si>
  <si>
    <t xml:space="preserve">  天棚</t>
  </si>
  <si>
    <t xml:space="preserve">  墙面</t>
  </si>
  <si>
    <t xml:space="preserve">  软装</t>
  </si>
  <si>
    <t xml:space="preserve">  入口地面铺贴</t>
  </si>
  <si>
    <t>考虑单元门楼工程费用</t>
  </si>
  <si>
    <t xml:space="preserve">  楼梯间地面</t>
  </si>
  <si>
    <t xml:space="preserve">  楼梯间墙面</t>
  </si>
  <si>
    <t xml:space="preserve">  楼梯间顶棚</t>
  </si>
  <si>
    <t xml:space="preserve">  电梯厅地面</t>
  </si>
  <si>
    <t xml:space="preserve">  电梯厅天棚</t>
  </si>
  <si>
    <t xml:space="preserve">  电梯厅墙面</t>
  </si>
  <si>
    <t xml:space="preserve">  公共走道地面</t>
  </si>
  <si>
    <t xml:space="preserve">  公共走道天棚</t>
  </si>
  <si>
    <t xml:space="preserve">  公共走道墙面</t>
  </si>
  <si>
    <t>C标准装修</t>
  </si>
  <si>
    <t>居家防盗系统</t>
  </si>
  <si>
    <t>宽带网络</t>
  </si>
  <si>
    <t>有线电视</t>
  </si>
  <si>
    <t>三表远传</t>
  </si>
  <si>
    <t>对讲系统</t>
  </si>
  <si>
    <t>电话系统</t>
  </si>
  <si>
    <r>
      <rPr>
        <sz val="9"/>
        <rFont val="宋体"/>
        <charset val="134"/>
      </rPr>
      <t xml:space="preserve">     </t>
    </r>
    <r>
      <rPr>
        <sz val="10"/>
        <rFont val="宋体"/>
        <charset val="134"/>
      </rPr>
      <t>总包给排水</t>
    </r>
  </si>
  <si>
    <r>
      <rPr>
        <sz val="9"/>
        <rFont val="宋体"/>
        <charset val="134"/>
      </rPr>
      <t xml:space="preserve">     给</t>
    </r>
    <r>
      <rPr>
        <sz val="10"/>
        <rFont val="宋体"/>
        <charset val="134"/>
      </rPr>
      <t>水甲供材</t>
    </r>
  </si>
  <si>
    <r>
      <rPr>
        <sz val="9"/>
        <rFont val="宋体"/>
        <charset val="134"/>
      </rPr>
      <t xml:space="preserve">     </t>
    </r>
    <r>
      <rPr>
        <sz val="10"/>
        <rFont val="宋体"/>
        <charset val="134"/>
      </rPr>
      <t>排水管材</t>
    </r>
  </si>
  <si>
    <r>
      <rPr>
        <sz val="9"/>
        <rFont val="宋体"/>
        <charset val="134"/>
      </rPr>
      <t xml:space="preserve">    </t>
    </r>
    <r>
      <rPr>
        <sz val="10"/>
        <rFont val="宋体"/>
        <charset val="134"/>
      </rPr>
      <t>穿线电管</t>
    </r>
  </si>
  <si>
    <t xml:space="preserve">    强弱电电线</t>
  </si>
  <si>
    <t>发电机</t>
  </si>
  <si>
    <t>机电设备</t>
  </si>
  <si>
    <t>墙面混合砂浆抹面</t>
  </si>
  <si>
    <t>天棚及墙面批腻子刮白</t>
  </si>
  <si>
    <t>防水面积</t>
  </si>
  <si>
    <t>结构加固及保护</t>
  </si>
  <si>
    <t>甲供保温板</t>
  </si>
  <si>
    <t>隔油池等</t>
  </si>
  <si>
    <t>防火卷帘门</t>
  </si>
  <si>
    <t>内墙保温</t>
  </si>
  <si>
    <t>排烟及通风</t>
  </si>
  <si>
    <t>通风空调系统</t>
  </si>
  <si>
    <t>韩昌普通黑白可视对讲</t>
  </si>
  <si>
    <t>暂定</t>
  </si>
  <si>
    <t>钢筋5000元/吨</t>
  </si>
  <si>
    <t xml:space="preserve">  内墙刮腻子</t>
  </si>
  <si>
    <t>卫生间烟道</t>
  </si>
  <si>
    <t>普通高层34层电梯</t>
  </si>
  <si>
    <t>1.75m/s</t>
  </si>
  <si>
    <t>考虑有一个部位的外立面保护费用</t>
  </si>
  <si>
    <t xml:space="preserve">    穿线电管</t>
  </si>
  <si>
    <t xml:space="preserve">  土方挖运2</t>
  </si>
  <si>
    <r>
      <rPr>
        <sz val="9"/>
        <rFont val="宋体"/>
        <charset val="134"/>
      </rPr>
      <t>m2/m</t>
    </r>
    <r>
      <rPr>
        <sz val="9"/>
        <rFont val="宋体"/>
        <charset val="134"/>
      </rPr>
      <t>2</t>
    </r>
  </si>
  <si>
    <r>
      <rPr>
        <sz val="9"/>
        <color indexed="21"/>
        <rFont val="宋体"/>
        <charset val="134"/>
      </rPr>
      <t xml:space="preserve">     </t>
    </r>
    <r>
      <rPr>
        <sz val="9"/>
        <rFont val="宋体"/>
        <charset val="134"/>
      </rPr>
      <t>总包给排水</t>
    </r>
  </si>
  <si>
    <r>
      <rPr>
        <sz val="9"/>
        <rFont val="宋体"/>
        <charset val="134"/>
      </rPr>
      <t>给</t>
    </r>
    <r>
      <rPr>
        <sz val="9"/>
        <rFont val="宋体"/>
        <charset val="134"/>
      </rPr>
      <t>水PPR管</t>
    </r>
  </si>
  <si>
    <r>
      <rPr>
        <sz val="9"/>
        <rFont val="宋体"/>
        <charset val="134"/>
      </rPr>
      <t xml:space="preserve">     PVC</t>
    </r>
    <r>
      <rPr>
        <sz val="9"/>
        <rFont val="宋体"/>
        <charset val="134"/>
      </rPr>
      <t>排水管材</t>
    </r>
  </si>
  <si>
    <r>
      <rPr>
        <sz val="9"/>
        <rFont val="宋体"/>
        <charset val="134"/>
      </rPr>
      <t xml:space="preserve">     铸铁</t>
    </r>
    <r>
      <rPr>
        <sz val="9"/>
        <rFont val="宋体"/>
        <charset val="134"/>
      </rPr>
      <t>排水管材</t>
    </r>
  </si>
  <si>
    <t xml:space="preserve"> 18层电梯-普通</t>
  </si>
  <si>
    <t>18层电梯-担架</t>
  </si>
  <si>
    <t xml:space="preserve">  私家花园栏杆</t>
  </si>
  <si>
    <t xml:space="preserve">  私家花园小院门</t>
  </si>
  <si>
    <t>公共走廊部分装修</t>
  </si>
  <si>
    <t>只考虑卫生间，不考虑办公区域装修</t>
  </si>
  <si>
    <t>附赠停车位架空层</t>
  </si>
  <si>
    <t>涂料</t>
  </si>
  <si>
    <t>上部框架</t>
  </si>
  <si>
    <t xml:space="preserve">  外墙抹灰</t>
  </si>
  <si>
    <t>别墅小院子</t>
  </si>
  <si>
    <t>施工面积</t>
  </si>
  <si>
    <t>含小院子围墙的抹灰及相应施工</t>
  </si>
  <si>
    <t>两个入户门</t>
  </si>
  <si>
    <t>车库门</t>
  </si>
  <si>
    <t>单元入口装修</t>
  </si>
  <si>
    <t>外立面装修－文化石</t>
  </si>
  <si>
    <t>外立面装修－钢构架及其他</t>
  </si>
  <si>
    <t>彩色可视对讲</t>
  </si>
  <si>
    <t>红外幕帘</t>
  </si>
  <si>
    <t>酒店地下室</t>
  </si>
  <si>
    <t>标准层部分混凝土</t>
  </si>
  <si>
    <t>标准层部分钢筋</t>
  </si>
  <si>
    <t>标准层部分模板</t>
  </si>
  <si>
    <t>外立面装修－真石漆</t>
  </si>
  <si>
    <t>高档瓷砖</t>
  </si>
  <si>
    <t>仿石漆</t>
  </si>
  <si>
    <t>C+级装修</t>
  </si>
  <si>
    <t>电梯</t>
  </si>
</sst>
</file>

<file path=xl/styles.xml><?xml version="1.0" encoding="utf-8"?>
<styleSheet xmlns="http://schemas.openxmlformats.org/spreadsheetml/2006/main">
  <numFmts count="50">
    <numFmt numFmtId="42" formatCode="_ &quot;￥&quot;* #,##0_ ;_ &quot;￥&quot;* \-#,##0_ ;_ &quot;￥&quot;* &quot;-&quot;_ ;_ @_ "/>
    <numFmt numFmtId="44" formatCode="_ &quot;￥&quot;* #,##0.00_ ;_ &quot;￥&quot;* \-#,##0.00_ ;_ &quot;￥&quot;* &quot;-&quot;??_ ;_ @_ "/>
    <numFmt numFmtId="176" formatCode="0.0"/>
    <numFmt numFmtId="177" formatCode="0.0;_ "/>
    <numFmt numFmtId="178" formatCode="_(&quot;$&quot;* #,##0.00_);_(&quot;$&quot;* \(#,##0.00\);_(&quot;$&quot;* &quot;-&quot;??_);_(@_)"/>
    <numFmt numFmtId="43" formatCode="_ * #,##0.00_ ;_ * \-#,##0.00_ ;_ * &quot;-&quot;??_ ;_ @_ "/>
    <numFmt numFmtId="179" formatCode="General;General;;"/>
    <numFmt numFmtId="180" formatCode="&quot;$&quot;#,##0_);[Red]\(&quot;$&quot;#,##0\)"/>
    <numFmt numFmtId="181" formatCode="_(* #,##0.00_);_(* \(#,##0.00\);_(* &quot;-&quot;??_);_(@_)"/>
    <numFmt numFmtId="182" formatCode="#,##0_ ;[Red]\-#,##0\ "/>
    <numFmt numFmtId="183" formatCode="_ * #,##0.000_ ;_ * \-#,##0.000_ ;_ * &quot;-&quot;??_ ;_ @_ "/>
    <numFmt numFmtId="184" formatCode="0.0000_);[Red]\(0.0000\)"/>
    <numFmt numFmtId="185" formatCode="0;_ "/>
    <numFmt numFmtId="41" formatCode="_ * #,##0_ ;_ * \-#,##0_ ;_ * &quot;-&quot;_ ;_ @_ "/>
    <numFmt numFmtId="186" formatCode="_ * #,##0_ ;_ * \-#,##0_ ;_ * &quot;-&quot;??_ ;_ @_ "/>
    <numFmt numFmtId="187" formatCode="#,##0.00_);[Red]\(#,##0.00\)"/>
    <numFmt numFmtId="188" formatCode="#,##0.0_)_%;\(#,##0.0\)_%;0.0_)_%;@_)_%"/>
    <numFmt numFmtId="189" formatCode="0.000%"/>
    <numFmt numFmtId="190" formatCode="#,##0_);[Red]\(#,##0\)"/>
    <numFmt numFmtId="191" formatCode="#,##0_)_x;\(#,##0\)_x;0_)_x;@_)_x"/>
    <numFmt numFmtId="192" formatCode="&quot;$&quot;_(#,##0.00_);&quot;$&quot;\(#,##0.00\);&quot;$&quot;_(0.00_);@_)"/>
    <numFmt numFmtId="193" formatCode="0.0%"/>
    <numFmt numFmtId="194" formatCode="0_ "/>
    <numFmt numFmtId="195" formatCode="#,##0_)\x;\(#,##0\)\x;0_)\x;@_)_x"/>
    <numFmt numFmtId="196" formatCode="#,##0.0"/>
    <numFmt numFmtId="197" formatCode="0.000_);[Red]\(0.000\)"/>
    <numFmt numFmtId="198" formatCode="_-* #,##0_-;\-* #,##0_-;_-* &quot;-&quot;_-;_-@_-"/>
    <numFmt numFmtId="199" formatCode="#,##0_ "/>
    <numFmt numFmtId="200" formatCode="0.0_);[Red]\(0.0\)"/>
    <numFmt numFmtId="201" formatCode="&quot;€&quot;_(#,##0.00_);&quot;€&quot;\(#,##0.00\);&quot;€&quot;_(0.00_);@_)"/>
    <numFmt numFmtId="202" formatCode="yyyy&quot;年&quot;m&quot;月&quot;;@"/>
    <numFmt numFmtId="203" formatCode="0.0_ "/>
    <numFmt numFmtId="204" formatCode="#,##0.0_);\(#,##0.0\);#,##0.0_);@_)"/>
    <numFmt numFmtId="205" formatCode="0.0_)\%;\(0.0\)\%;0.0_)\%;@_)_%"/>
    <numFmt numFmtId="206" formatCode="0.00_ "/>
    <numFmt numFmtId="207" formatCode="0.00_);[Red]\(0.00\)"/>
    <numFmt numFmtId="208" formatCode="#,##0.00_);\(#,##0.00\);0.00_);@_)"/>
    <numFmt numFmtId="209" formatCode="_-* #,##0.000_-;\-* #,##0.000_-;_-* &quot;-&quot;_-;_-@_-"/>
    <numFmt numFmtId="210" formatCode="_-* #,##0.0_-;\-* #,##0.0_-;_-* &quot;-&quot;_-;_-@_-"/>
    <numFmt numFmtId="211" formatCode="0.00000_ "/>
    <numFmt numFmtId="212" formatCode="[$-F800]dddd\,\ mmmm\ dd\,\ yyyy"/>
    <numFmt numFmtId="213" formatCode="_-* #,##0.00_-;\-* #,##0.00_-;_-* &quot;-&quot;??_-;_-@_-"/>
    <numFmt numFmtId="214" formatCode="#,##0.00_ "/>
    <numFmt numFmtId="215" formatCode="0_);[Red]\(0\)"/>
    <numFmt numFmtId="216" formatCode="0.00;_ "/>
    <numFmt numFmtId="217" formatCode="_-* #,##0.00_-;\-* #,##0.00_-;_-* &quot;-&quot;_-;_-@_-"/>
    <numFmt numFmtId="218" formatCode="0.0000_ "/>
    <numFmt numFmtId="219" formatCode="0.000"/>
    <numFmt numFmtId="220" formatCode="_ * #,##0.0_ ;_ * \-#,##0.0_ ;_ * &quot;-&quot;??_ ;_ @_ "/>
    <numFmt numFmtId="221" formatCode="yyyy\/mm\/dd"/>
  </numFmts>
  <fonts count="145">
    <font>
      <sz val="12"/>
      <name val="Times New Roman"/>
      <charset val="134"/>
    </font>
    <font>
      <sz val="10"/>
      <name val="宋体"/>
      <charset val="134"/>
    </font>
    <font>
      <sz val="9"/>
      <name val="宋体"/>
      <charset val="134"/>
    </font>
    <font>
      <b/>
      <sz val="10"/>
      <color indexed="60"/>
      <name val="宋体"/>
      <charset val="134"/>
    </font>
    <font>
      <b/>
      <sz val="10"/>
      <name val="宋体"/>
      <charset val="134"/>
    </font>
    <font>
      <b/>
      <sz val="9"/>
      <color indexed="62"/>
      <name val="宋体"/>
      <charset val="134"/>
    </font>
    <font>
      <b/>
      <sz val="9"/>
      <name val="宋体"/>
      <charset val="134"/>
    </font>
    <font>
      <sz val="9"/>
      <color indexed="21"/>
      <name val="宋体"/>
      <charset val="134"/>
    </font>
    <font>
      <sz val="9"/>
      <color indexed="10"/>
      <name val="宋体"/>
      <charset val="134"/>
    </font>
    <font>
      <sz val="9"/>
      <color indexed="62"/>
      <name val="宋体"/>
      <charset val="134"/>
    </font>
    <font>
      <sz val="9"/>
      <color indexed="16"/>
      <name val="宋体"/>
      <charset val="134"/>
    </font>
    <font>
      <sz val="9"/>
      <color indexed="30"/>
      <name val="宋体"/>
      <charset val="134"/>
    </font>
    <font>
      <b/>
      <sz val="9"/>
      <color indexed="30"/>
      <name val="宋体"/>
      <charset val="134"/>
    </font>
    <font>
      <sz val="9"/>
      <color indexed="9"/>
      <name val="宋体"/>
      <charset val="134"/>
    </font>
    <font>
      <b/>
      <sz val="11"/>
      <color indexed="60"/>
      <name val="宋体"/>
      <charset val="134"/>
    </font>
    <font>
      <sz val="6"/>
      <name val="宋体"/>
      <charset val="134"/>
    </font>
    <font>
      <sz val="9"/>
      <color indexed="48"/>
      <name val="宋体"/>
      <charset val="134"/>
    </font>
    <font>
      <b/>
      <sz val="10"/>
      <color indexed="8"/>
      <name val="华文细黑"/>
      <charset val="134"/>
    </font>
    <font>
      <sz val="6"/>
      <color indexed="10"/>
      <name val="宋体"/>
      <charset val="134"/>
    </font>
    <font>
      <sz val="9"/>
      <color indexed="60"/>
      <name val="宋体"/>
      <charset val="134"/>
    </font>
    <font>
      <sz val="12"/>
      <color indexed="18"/>
      <name val="楷体_GB2312"/>
      <charset val="134"/>
    </font>
    <font>
      <b/>
      <sz val="18"/>
      <color indexed="60"/>
      <name val="黑体"/>
      <charset val="134"/>
    </font>
    <font>
      <sz val="9"/>
      <name val="宋体"/>
      <charset val="134"/>
      <scheme val="minor"/>
    </font>
    <font>
      <b/>
      <sz val="12"/>
      <name val="微软雅黑"/>
      <charset val="134"/>
    </font>
    <font>
      <sz val="12"/>
      <color theme="1"/>
      <name val="Times New Roman"/>
      <charset val="134"/>
    </font>
    <font>
      <sz val="12"/>
      <name val="宋体"/>
      <charset val="134"/>
    </font>
    <font>
      <sz val="9"/>
      <color theme="1"/>
      <name val="宋体"/>
      <charset val="134"/>
      <scheme val="minor"/>
    </font>
    <font>
      <sz val="10"/>
      <name val="Arial"/>
      <charset val="134"/>
    </font>
    <font>
      <sz val="9"/>
      <color indexed="8"/>
      <name val="宋体"/>
      <charset val="134"/>
      <scheme val="minor"/>
    </font>
    <font>
      <sz val="9"/>
      <color rgb="FF000000"/>
      <name val="宋体"/>
      <charset val="134"/>
      <scheme val="minor"/>
    </font>
    <font>
      <sz val="10"/>
      <name val="楷体_GB2312"/>
      <charset val="134"/>
    </font>
    <font>
      <b/>
      <sz val="12"/>
      <color indexed="60"/>
      <name val="宋体"/>
      <charset val="134"/>
    </font>
    <font>
      <b/>
      <sz val="9"/>
      <color indexed="12"/>
      <name val="宋体"/>
      <charset val="134"/>
    </font>
    <font>
      <sz val="8"/>
      <name val="宋体"/>
      <charset val="134"/>
    </font>
    <font>
      <sz val="9"/>
      <color theme="1"/>
      <name val="宋体"/>
      <charset val="134"/>
    </font>
    <font>
      <sz val="9"/>
      <color indexed="8"/>
      <name val="宋体"/>
      <charset val="134"/>
    </font>
    <font>
      <sz val="10"/>
      <name val="华文细黑"/>
      <charset val="134"/>
    </font>
    <font>
      <sz val="9"/>
      <name val="Times New Roman"/>
      <charset val="134"/>
    </font>
    <font>
      <b/>
      <sz val="18"/>
      <color indexed="16"/>
      <name val="黑体"/>
      <charset val="134"/>
    </font>
    <font>
      <sz val="9"/>
      <color indexed="16"/>
      <name val="华文细黑"/>
      <charset val="134"/>
    </font>
    <font>
      <b/>
      <sz val="9"/>
      <color theme="1"/>
      <name val="宋体"/>
      <charset val="134"/>
    </font>
    <font>
      <b/>
      <sz val="10"/>
      <color indexed="8"/>
      <name val="宋体"/>
      <charset val="134"/>
    </font>
    <font>
      <b/>
      <sz val="9"/>
      <color indexed="8"/>
      <name val="宋体"/>
      <charset val="134"/>
    </font>
    <font>
      <b/>
      <sz val="11"/>
      <name val="宋体"/>
      <charset val="134"/>
    </font>
    <font>
      <b/>
      <sz val="10"/>
      <name val="华文细黑"/>
      <charset val="134"/>
    </font>
    <font>
      <sz val="9"/>
      <color indexed="8"/>
      <name val="华文细黑"/>
      <charset val="134"/>
    </font>
    <font>
      <b/>
      <sz val="11"/>
      <name val="华文中宋"/>
      <charset val="134"/>
    </font>
    <font>
      <sz val="11"/>
      <name val="华文中宋"/>
      <charset val="134"/>
    </font>
    <font>
      <b/>
      <sz val="10"/>
      <color theme="1"/>
      <name val="华文楷体"/>
      <charset val="134"/>
    </font>
    <font>
      <b/>
      <sz val="10"/>
      <color theme="1"/>
      <name val="微软雅黑"/>
      <charset val="134"/>
    </font>
    <font>
      <sz val="9"/>
      <name val="华文中宋"/>
      <charset val="134"/>
    </font>
    <font>
      <b/>
      <sz val="16"/>
      <name val="宋体"/>
      <charset val="134"/>
      <scheme val="minor"/>
    </font>
    <font>
      <b/>
      <sz val="10"/>
      <name val="Arial"/>
      <charset val="134"/>
    </font>
    <font>
      <sz val="9"/>
      <color indexed="12"/>
      <name val="宋体"/>
      <charset val="134"/>
    </font>
    <font>
      <sz val="9"/>
      <name val="华文细黑"/>
      <charset val="134"/>
    </font>
    <font>
      <sz val="11"/>
      <name val="宋体"/>
      <charset val="134"/>
    </font>
    <font>
      <sz val="9"/>
      <color rgb="FFFF0000"/>
      <name val="宋体"/>
      <charset val="134"/>
    </font>
    <font>
      <b/>
      <sz val="9"/>
      <color indexed="18"/>
      <name val="宋体"/>
      <charset val="134"/>
    </font>
    <font>
      <sz val="9"/>
      <color indexed="18"/>
      <name val="宋体"/>
      <charset val="134"/>
    </font>
    <font>
      <sz val="10"/>
      <name val="Times New Roman"/>
      <charset val="134"/>
    </font>
    <font>
      <sz val="10"/>
      <color theme="1"/>
      <name val="宋体"/>
      <charset val="134"/>
    </font>
    <font>
      <b/>
      <sz val="9"/>
      <color indexed="10"/>
      <name val="宋体"/>
      <charset val="134"/>
    </font>
    <font>
      <sz val="9"/>
      <color theme="1" tint="0.0499893185216834"/>
      <name val="宋体"/>
      <charset val="134"/>
    </font>
    <font>
      <sz val="9"/>
      <color rgb="FF000000"/>
      <name val="宋体"/>
      <charset val="134"/>
    </font>
    <font>
      <b/>
      <sz val="10"/>
      <color indexed="10"/>
      <name val="宋体"/>
      <charset val="134"/>
    </font>
    <font>
      <b/>
      <sz val="10"/>
      <color indexed="12"/>
      <name val="宋体"/>
      <charset val="134"/>
    </font>
    <font>
      <b/>
      <sz val="10"/>
      <name val="Times New Roman"/>
      <charset val="134"/>
    </font>
    <font>
      <sz val="10"/>
      <name val="宋体"/>
      <charset val="134"/>
      <scheme val="minor"/>
    </font>
    <font>
      <b/>
      <sz val="10"/>
      <color indexed="10"/>
      <name val="宋体"/>
      <charset val="134"/>
      <scheme val="minor"/>
    </font>
    <font>
      <sz val="12"/>
      <name val="宋体"/>
      <charset val="134"/>
      <scheme val="minor"/>
    </font>
    <font>
      <sz val="10"/>
      <color theme="1"/>
      <name val="宋体"/>
      <charset val="134"/>
      <scheme val="minor"/>
    </font>
    <font>
      <sz val="10"/>
      <color indexed="10"/>
      <name val="宋体"/>
      <charset val="134"/>
      <scheme val="minor"/>
    </font>
    <font>
      <b/>
      <sz val="10"/>
      <name val="宋体"/>
      <charset val="134"/>
      <scheme val="minor"/>
    </font>
    <font>
      <sz val="10"/>
      <color indexed="12"/>
      <name val="宋体"/>
      <charset val="134"/>
    </font>
    <font>
      <sz val="10"/>
      <color indexed="48"/>
      <name val="宋体"/>
      <charset val="134"/>
    </font>
    <font>
      <sz val="8"/>
      <name val="Times New Roman"/>
      <charset val="134"/>
    </font>
    <font>
      <b/>
      <sz val="10"/>
      <color rgb="FFFF0000"/>
      <name val="宋体"/>
      <charset val="134"/>
    </font>
    <font>
      <sz val="10"/>
      <color rgb="FFFF0000"/>
      <name val="Times New Roman"/>
      <charset val="134"/>
    </font>
    <font>
      <b/>
      <sz val="9"/>
      <color rgb="FFFF0000"/>
      <name val="宋体"/>
      <charset val="134"/>
    </font>
    <font>
      <b/>
      <sz val="9"/>
      <color rgb="FFFF0000"/>
      <name val="Times New Roman"/>
      <charset val="134"/>
    </font>
    <font>
      <sz val="10"/>
      <color rgb="FFFF0000"/>
      <name val="宋体"/>
      <charset val="134"/>
    </font>
    <font>
      <b/>
      <sz val="16"/>
      <name val="Times New Roman"/>
      <charset val="134"/>
    </font>
    <font>
      <sz val="10.5"/>
      <name val="Times New Roman"/>
      <charset val="134"/>
    </font>
    <font>
      <sz val="10"/>
      <name val="Arial Unicode MS"/>
      <charset val="134"/>
    </font>
    <font>
      <b/>
      <sz val="10"/>
      <name val="Arial Unicode MS"/>
      <charset val="134"/>
    </font>
    <font>
      <b/>
      <sz val="16"/>
      <color theme="9" tint="-0.249977111117893"/>
      <name val="Times New Roman"/>
      <charset val="134"/>
    </font>
    <font>
      <b/>
      <sz val="9"/>
      <name val="Times New Roman"/>
      <charset val="134"/>
    </font>
    <font>
      <u/>
      <sz val="14"/>
      <name val="宋体"/>
      <charset val="134"/>
    </font>
    <font>
      <b/>
      <sz val="10"/>
      <color rgb="FF000000"/>
      <name val="楷体_GB2312"/>
      <charset val="134"/>
    </font>
    <font>
      <sz val="10"/>
      <color rgb="FF000000"/>
      <name val="楷体_GB2312"/>
      <charset val="134"/>
    </font>
    <font>
      <sz val="10"/>
      <color rgb="FF000000"/>
      <name val="Arial"/>
      <charset val="134"/>
    </font>
    <font>
      <sz val="10"/>
      <color rgb="FF000000"/>
      <name val="宋体"/>
      <charset val="134"/>
    </font>
    <font>
      <sz val="10"/>
      <color rgb="FFFFFFFF"/>
      <name val="楷体_GB2312"/>
      <charset val="134"/>
    </font>
    <font>
      <sz val="10"/>
      <color rgb="FFFFFFFF"/>
      <name val="宋体"/>
      <charset val="134"/>
    </font>
    <font>
      <b/>
      <sz val="10"/>
      <color rgb="FFFFFFFF"/>
      <name val="楷体_GB2312"/>
      <charset val="134"/>
    </font>
    <font>
      <b/>
      <sz val="10"/>
      <color rgb="FF0000FF"/>
      <name val="楷体_GB2312"/>
      <charset val="134"/>
    </font>
    <font>
      <b/>
      <sz val="10"/>
      <color rgb="FF000000"/>
      <name val="宋体"/>
      <charset val="134"/>
    </font>
    <font>
      <b/>
      <sz val="12"/>
      <name val="宋体"/>
      <charset val="134"/>
    </font>
    <font>
      <b/>
      <sz val="12"/>
      <name val="Times New Roman"/>
      <charset val="134"/>
    </font>
    <font>
      <b/>
      <sz val="12"/>
      <color indexed="14"/>
      <name val="Times New Roman"/>
      <charset val="134"/>
    </font>
    <font>
      <b/>
      <sz val="24"/>
      <name val="宋体"/>
      <charset val="134"/>
    </font>
    <font>
      <sz val="11"/>
      <color indexed="9"/>
      <name val="宋体"/>
      <charset val="134"/>
    </font>
    <font>
      <sz val="11"/>
      <color theme="1"/>
      <name val="宋体"/>
      <charset val="134"/>
      <scheme val="minor"/>
    </font>
    <font>
      <sz val="11"/>
      <color indexed="17"/>
      <name val="宋体"/>
      <charset val="134"/>
    </font>
    <font>
      <sz val="12"/>
      <color indexed="20"/>
      <name val="宋体"/>
      <charset val="134"/>
    </font>
    <font>
      <sz val="11"/>
      <color theme="1"/>
      <name val="宋体"/>
      <charset val="134"/>
      <scheme val="minor"/>
    </font>
    <font>
      <sz val="10"/>
      <name val="Helv"/>
      <charset val="134"/>
    </font>
    <font>
      <sz val="12"/>
      <color indexed="17"/>
      <name val="宋体"/>
      <charset val="134"/>
    </font>
    <font>
      <sz val="11"/>
      <color indexed="8"/>
      <name val="宋体"/>
      <charset val="134"/>
    </font>
    <font>
      <b/>
      <sz val="11"/>
      <color indexed="52"/>
      <name val="宋体"/>
      <charset val="134"/>
    </font>
    <font>
      <b/>
      <sz val="13"/>
      <color indexed="56"/>
      <name val="宋体"/>
      <charset val="134"/>
    </font>
    <font>
      <sz val="11"/>
      <color indexed="10"/>
      <name val="宋体"/>
      <charset val="134"/>
    </font>
    <font>
      <sz val="11"/>
      <color indexed="62"/>
      <name val="宋体"/>
      <charset val="134"/>
    </font>
    <font>
      <sz val="11"/>
      <color indexed="60"/>
      <name val="宋体"/>
      <charset val="134"/>
    </font>
    <font>
      <sz val="11"/>
      <color indexed="52"/>
      <name val="宋体"/>
      <charset val="134"/>
    </font>
    <font>
      <sz val="11"/>
      <color indexed="20"/>
      <name val="宋体"/>
      <charset val="134"/>
    </font>
    <font>
      <b/>
      <sz val="14"/>
      <color indexed="18"/>
      <name val="Arial"/>
      <charset val="134"/>
    </font>
    <font>
      <sz val="11"/>
      <color indexed="42"/>
      <name val="宋体"/>
      <charset val="134"/>
    </font>
    <font>
      <i/>
      <sz val="11"/>
      <color indexed="23"/>
      <name val="宋体"/>
      <charset val="134"/>
    </font>
    <font>
      <b/>
      <sz val="11"/>
      <color indexed="56"/>
      <name val="宋体"/>
      <charset val="134"/>
    </font>
    <font>
      <u/>
      <sz val="11"/>
      <color rgb="FF800080"/>
      <name val="宋体"/>
      <charset val="0"/>
      <scheme val="minor"/>
    </font>
    <font>
      <b/>
      <sz val="11"/>
      <color indexed="63"/>
      <name val="宋体"/>
      <charset val="134"/>
    </font>
    <font>
      <u/>
      <sz val="10.8"/>
      <color indexed="36"/>
      <name val="Times New Roman"/>
      <charset val="134"/>
    </font>
    <font>
      <b/>
      <sz val="15"/>
      <color indexed="56"/>
      <name val="宋体"/>
      <charset val="134"/>
    </font>
    <font>
      <b/>
      <sz val="11"/>
      <color indexed="8"/>
      <name val="宋体"/>
      <charset val="134"/>
    </font>
    <font>
      <b/>
      <sz val="18"/>
      <color indexed="56"/>
      <name val="宋体"/>
      <charset val="134"/>
    </font>
    <font>
      <u/>
      <sz val="11"/>
      <color rgb="FF0000FF"/>
      <name val="宋体"/>
      <charset val="0"/>
      <scheme val="minor"/>
    </font>
    <font>
      <b/>
      <sz val="13"/>
      <color indexed="62"/>
      <name val="宋体"/>
      <charset val="134"/>
    </font>
    <font>
      <sz val="11"/>
      <color theme="1"/>
      <name val="宋体"/>
      <charset val="134"/>
      <scheme val="minor"/>
    </font>
    <font>
      <b/>
      <sz val="11"/>
      <color indexed="62"/>
      <name val="宋体"/>
      <charset val="134"/>
    </font>
    <font>
      <b/>
      <sz val="11"/>
      <color indexed="9"/>
      <name val="宋体"/>
      <charset val="134"/>
    </font>
    <font>
      <b/>
      <sz val="22"/>
      <color indexed="18"/>
      <name val="Arial"/>
      <charset val="134"/>
    </font>
    <font>
      <sz val="10"/>
      <name val="MS Sans Serif"/>
      <charset val="134"/>
    </font>
    <font>
      <sz val="9"/>
      <color indexed="8"/>
      <name val="Arial"/>
      <charset val="134"/>
    </font>
    <font>
      <b/>
      <sz val="10"/>
      <color indexed="18"/>
      <name val="Arial"/>
      <charset val="134"/>
    </font>
    <font>
      <b/>
      <u val="singleAccounting"/>
      <sz val="10"/>
      <color indexed="18"/>
      <name val="Arial"/>
      <charset val="134"/>
    </font>
    <font>
      <b/>
      <sz val="18"/>
      <color indexed="62"/>
      <name val="宋体"/>
      <charset val="134"/>
    </font>
    <font>
      <b/>
      <sz val="15"/>
      <color indexed="62"/>
      <name val="宋体"/>
      <charset val="134"/>
    </font>
    <font>
      <b/>
      <sz val="11"/>
      <color indexed="42"/>
      <name val="宋体"/>
      <charset val="134"/>
    </font>
    <font>
      <u/>
      <sz val="9"/>
      <color indexed="12"/>
      <name val="宋体"/>
      <charset val="134"/>
    </font>
    <font>
      <sz val="9"/>
      <color rgb="FFFF0000"/>
      <name val="宋体"/>
      <charset val="134"/>
      <scheme val="minor"/>
    </font>
    <font>
      <b/>
      <sz val="10"/>
      <color indexed="12"/>
      <name val="Times New Roman"/>
      <charset val="134"/>
    </font>
    <font>
      <b/>
      <sz val="10"/>
      <color rgb="FF0000FF"/>
      <name val="宋体"/>
      <charset val="134"/>
    </font>
    <font>
      <vertAlign val="superscript"/>
      <sz val="10"/>
      <name val="宋体"/>
      <charset val="134"/>
    </font>
    <font>
      <b/>
      <sz val="24"/>
      <name val="Times New Roman"/>
      <charset val="134"/>
    </font>
  </fonts>
  <fills count="51">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1"/>
        <bgColor indexed="64"/>
      </patternFill>
    </fill>
    <fill>
      <patternFill patternType="solid">
        <fgColor indexed="47"/>
        <bgColor indexed="64"/>
      </patternFill>
    </fill>
    <fill>
      <patternFill patternType="solid">
        <fgColor indexed="14"/>
        <bgColor indexed="64"/>
      </patternFill>
    </fill>
    <fill>
      <patternFill patternType="solid">
        <fgColor indexed="13"/>
        <bgColor indexed="64"/>
      </patternFill>
    </fill>
    <fill>
      <patternFill patternType="solid">
        <fgColor indexed="51"/>
        <bgColor indexed="64"/>
      </patternFill>
    </fill>
    <fill>
      <patternFill patternType="lightTrellis">
        <bgColor indexed="9"/>
      </patternFill>
    </fill>
    <fill>
      <patternFill patternType="darkUp">
        <bgColor indexed="9"/>
      </patternFill>
    </fill>
    <fill>
      <patternFill patternType="solid">
        <fgColor indexed="50"/>
        <bgColor indexed="64"/>
      </patternFill>
    </fill>
    <fill>
      <patternFill patternType="solid">
        <fgColor indexed="22"/>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indexed="42"/>
        <bgColor indexed="64"/>
      </patternFill>
    </fill>
    <fill>
      <patternFill patternType="solid">
        <fgColor rgb="FFFFFFFF"/>
        <bgColor indexed="64"/>
      </patternFill>
    </fill>
    <fill>
      <patternFill patternType="solid">
        <fgColor rgb="FFFFCC99"/>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theme="9" tint="0.599993896298105"/>
        <bgColor indexed="64"/>
      </patternFill>
    </fill>
    <fill>
      <patternFill patternType="solid">
        <fgColor theme="0" tint="-0.149998474074526"/>
        <bgColor indexed="64"/>
      </patternFill>
    </fill>
    <fill>
      <patternFill patternType="solid">
        <fgColor rgb="FFFF0000"/>
        <bgColor indexed="64"/>
      </patternFill>
    </fill>
    <fill>
      <patternFill patternType="gray125">
        <fgColor theme="0"/>
      </patternFill>
    </fill>
    <fill>
      <patternFill patternType="solid">
        <fgColor indexed="65"/>
        <bgColor indexed="64"/>
      </patternFill>
    </fill>
    <fill>
      <patternFill patternType="lightTrellis">
        <bgColor rgb="FF92D050"/>
      </patternFill>
    </fill>
    <fill>
      <patternFill patternType="solid">
        <fgColor theme="4" tint="0.599993896298105"/>
        <bgColor indexed="64"/>
      </patternFill>
    </fill>
    <fill>
      <patternFill patternType="solid">
        <fgColor rgb="FFFFFF99"/>
        <bgColor indexed="64"/>
      </patternFill>
    </fill>
    <fill>
      <patternFill patternType="solid">
        <fgColor indexed="27"/>
        <bgColor indexed="64"/>
      </patternFill>
    </fill>
    <fill>
      <patternFill patternType="solid">
        <fgColor theme="3" tint="0.799981688894314"/>
        <bgColor indexed="64"/>
      </patternFill>
    </fill>
    <fill>
      <patternFill patternType="solid">
        <fgColor rgb="FFCCFFFF"/>
        <bgColor indexed="64"/>
      </patternFill>
    </fill>
    <fill>
      <patternFill patternType="solid">
        <fgColor rgb="FFCC3300"/>
        <bgColor indexed="64"/>
      </patternFill>
    </fill>
    <fill>
      <patternFill patternType="solid">
        <fgColor indexed="49"/>
        <bgColor indexed="64"/>
      </patternFill>
    </fill>
    <fill>
      <patternFill patternType="solid">
        <fgColor indexed="45"/>
        <bgColor indexed="64"/>
      </patternFill>
    </fill>
    <fill>
      <patternFill patternType="solid">
        <fgColor indexed="46"/>
        <bgColor indexed="64"/>
      </patternFill>
    </fill>
    <fill>
      <patternFill patternType="solid">
        <fgColor indexed="31"/>
        <bgColor indexed="64"/>
      </patternFill>
    </fill>
    <fill>
      <patternFill patternType="solid">
        <fgColor indexed="10"/>
        <bgColor indexed="64"/>
      </patternFill>
    </fill>
    <fill>
      <patternFill patternType="solid">
        <fgColor indexed="36"/>
        <bgColor indexed="64"/>
      </patternFill>
    </fill>
    <fill>
      <patternFill patternType="solid">
        <fgColor indexed="29"/>
        <bgColor indexed="64"/>
      </patternFill>
    </fill>
    <fill>
      <patternFill patternType="solid">
        <fgColor indexed="11"/>
        <bgColor indexed="64"/>
      </patternFill>
    </fill>
    <fill>
      <patternFill patternType="solid">
        <fgColor indexed="53"/>
        <bgColor indexed="64"/>
      </patternFill>
    </fill>
    <fill>
      <patternFill patternType="solid">
        <fgColor indexed="6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55"/>
        <bgColor indexed="64"/>
      </patternFill>
    </fill>
    <fill>
      <patternFill patternType="solid">
        <fgColor indexed="30"/>
        <bgColor indexed="64"/>
      </patternFill>
    </fill>
    <fill>
      <patternFill patternType="solid">
        <fgColor indexed="52"/>
        <bgColor indexed="64"/>
      </patternFill>
    </fill>
    <fill>
      <patternFill patternType="solid">
        <fgColor indexed="54"/>
        <bgColor indexed="64"/>
      </patternFill>
    </fill>
  </fills>
  <borders count="7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diagonal/>
    </border>
    <border>
      <left style="double">
        <color auto="1"/>
      </left>
      <right style="thin">
        <color auto="1"/>
      </right>
      <top style="medium">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style="double">
        <color auto="1"/>
      </left>
      <right style="thin">
        <color auto="1"/>
      </right>
      <top style="thin">
        <color auto="1"/>
      </top>
      <bottom style="medium">
        <color auto="1"/>
      </bottom>
      <diagonal/>
    </border>
    <border>
      <left style="thin">
        <color auto="1"/>
      </left>
      <right style="double">
        <color auto="1"/>
      </right>
      <top style="thin">
        <color auto="1"/>
      </top>
      <bottom style="medium">
        <color auto="1"/>
      </bottom>
      <diagonal/>
    </border>
    <border>
      <left/>
      <right style="thin">
        <color auto="1"/>
      </right>
      <top style="thin">
        <color auto="1"/>
      </top>
      <bottom style="medium">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n">
        <color auto="1"/>
      </left>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bottom/>
      <diagonal/>
    </border>
    <border>
      <left/>
      <right/>
      <top style="thin">
        <color auto="1"/>
      </top>
      <bottom style="thin">
        <color auto="1"/>
      </bottom>
      <diagonal/>
    </border>
    <border>
      <left style="medium">
        <color auto="1"/>
      </left>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medium">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bottom/>
      <diagonal/>
    </border>
    <border>
      <left/>
      <right style="medium">
        <color auto="1"/>
      </right>
      <top style="medium">
        <color auto="1"/>
      </top>
      <bottom/>
      <diagonal/>
    </border>
    <border>
      <left/>
      <right style="medium">
        <color auto="1"/>
      </right>
      <top/>
      <bottom/>
      <diagonal/>
    </border>
    <border>
      <left/>
      <right style="thin">
        <color auto="1"/>
      </right>
      <top style="thin">
        <color auto="1"/>
      </top>
      <bottom/>
      <diagonal/>
    </border>
    <border>
      <left/>
      <right style="medium">
        <color auto="1"/>
      </right>
      <top/>
      <bottom style="medium">
        <color auto="1"/>
      </bottom>
      <diagonal/>
    </border>
    <border>
      <left/>
      <right style="thin">
        <color auto="1"/>
      </right>
      <top/>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medium">
        <color indexed="30"/>
      </bottom>
      <diagonal/>
    </border>
    <border>
      <left/>
      <right/>
      <top/>
      <bottom style="medium">
        <color indexed="49"/>
      </bottom>
      <diagonal/>
    </border>
    <border>
      <left style="double">
        <color indexed="63"/>
      </left>
      <right style="double">
        <color indexed="63"/>
      </right>
      <top style="double">
        <color indexed="63"/>
      </top>
      <bottom style="double">
        <color indexed="63"/>
      </bottom>
      <diagonal/>
    </border>
    <border>
      <left/>
      <right/>
      <top style="hair">
        <color indexed="8"/>
      </top>
      <bottom style="hair">
        <color indexed="8"/>
      </bottom>
      <diagonal/>
    </border>
    <border>
      <left/>
      <right/>
      <top/>
      <bottom style="medium">
        <color indexed="18"/>
      </bottom>
      <diagonal/>
    </border>
    <border>
      <left/>
      <right/>
      <top/>
      <bottom style="thick">
        <color indexed="49"/>
      </bottom>
      <diagonal/>
    </border>
    <border>
      <left/>
      <right/>
      <top style="thin">
        <color indexed="49"/>
      </top>
      <bottom style="double">
        <color indexed="49"/>
      </bottom>
      <diagonal/>
    </border>
  </borders>
  <cellStyleXfs count="460">
    <xf numFmtId="0" fontId="0" fillId="0" borderId="0"/>
    <xf numFmtId="42" fontId="105" fillId="0" borderId="0" applyFont="0" applyFill="0" applyBorder="0" applyAlignment="0" applyProtection="0">
      <alignment vertical="center"/>
    </xf>
    <xf numFmtId="0" fontId="108" fillId="16" borderId="0" applyNumberFormat="0" applyBorder="0" applyAlignment="0" applyProtection="0">
      <alignment vertical="center"/>
    </xf>
    <xf numFmtId="0" fontId="112" fillId="5" borderId="62" applyNumberFormat="0" applyAlignment="0" applyProtection="0">
      <alignment vertical="center"/>
    </xf>
    <xf numFmtId="0" fontId="25" fillId="0" borderId="0">
      <alignment vertical="center"/>
    </xf>
    <xf numFmtId="0" fontId="106" fillId="0" borderId="0"/>
    <xf numFmtId="44" fontId="105" fillId="0" borderId="0" applyFont="0" applyFill="0" applyBorder="0" applyAlignment="0" applyProtection="0">
      <alignment vertical="center"/>
    </xf>
    <xf numFmtId="43" fontId="25" fillId="0" borderId="0" applyProtection="0"/>
    <xf numFmtId="41" fontId="105" fillId="0" borderId="0" applyFont="0" applyFill="0" applyBorder="0" applyAlignment="0" applyProtection="0">
      <alignment vertical="center"/>
    </xf>
    <xf numFmtId="192" fontId="27" fillId="0" borderId="0" applyFont="0" applyFill="0" applyBorder="0" applyAlignment="0" applyProtection="0"/>
    <xf numFmtId="0" fontId="109" fillId="12" borderId="62" applyNumberFormat="0" applyAlignment="0" applyProtection="0">
      <alignment vertical="center"/>
    </xf>
    <xf numFmtId="0" fontId="108" fillId="41" borderId="0" applyNumberFormat="0" applyBorder="0" applyAlignment="0" applyProtection="0">
      <alignment vertical="center"/>
    </xf>
    <xf numFmtId="0" fontId="115" fillId="35" borderId="0" applyNumberFormat="0" applyBorder="0" applyAlignment="0" applyProtection="0">
      <alignment vertical="center"/>
    </xf>
    <xf numFmtId="0" fontId="102" fillId="0" borderId="0">
      <alignment vertical="center"/>
    </xf>
    <xf numFmtId="43" fontId="0" fillId="0" borderId="0" applyFont="0" applyFill="0" applyBorder="0" applyAlignment="0" applyProtection="0"/>
    <xf numFmtId="0" fontId="101" fillId="41" borderId="0" applyNumberFormat="0" applyBorder="0" applyAlignment="0" applyProtection="0">
      <alignment vertical="center"/>
    </xf>
    <xf numFmtId="0" fontId="126" fillId="0" borderId="0" applyNumberFormat="0" applyFill="0" applyBorder="0" applyAlignment="0" applyProtection="0">
      <alignment vertical="center"/>
    </xf>
    <xf numFmtId="188" fontId="27" fillId="0" borderId="0" applyFont="0" applyFill="0" applyBorder="0" applyAlignment="0" applyProtection="0"/>
    <xf numFmtId="9" fontId="0" fillId="0" borderId="0" applyFont="0" applyFill="0" applyBorder="0" applyAlignment="0" applyProtection="0"/>
    <xf numFmtId="0" fontId="120" fillId="0" borderId="0" applyNumberFormat="0" applyFill="0" applyBorder="0" applyAlignment="0" applyProtection="0">
      <alignment vertical="center"/>
    </xf>
    <xf numFmtId="0" fontId="0" fillId="0" borderId="0"/>
    <xf numFmtId="0" fontId="0" fillId="45" borderId="67" applyNumberFormat="0" applyFont="0" applyAlignment="0" applyProtection="0">
      <alignment vertical="center"/>
    </xf>
    <xf numFmtId="0" fontId="104" fillId="35" borderId="0" applyNumberFormat="0" applyBorder="0" applyAlignment="0" applyProtection="0">
      <alignment vertical="center"/>
    </xf>
    <xf numFmtId="0" fontId="101" fillId="40" borderId="0" applyNumberFormat="0" applyBorder="0" applyAlignment="0" applyProtection="0">
      <alignment vertical="center"/>
    </xf>
    <xf numFmtId="0" fontId="119"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08" fillId="30" borderId="0" applyNumberFormat="0" applyBorder="0" applyAlignment="0" applyProtection="0">
      <alignment vertical="center"/>
    </xf>
    <xf numFmtId="0" fontId="27" fillId="3" borderId="0" applyNumberFormat="0" applyFont="0" applyAlignment="0" applyProtection="0"/>
    <xf numFmtId="43" fontId="25" fillId="0" borderId="0" applyProtection="0"/>
    <xf numFmtId="43" fontId="25" fillId="0" borderId="0" applyFont="0" applyFill="0" applyBorder="0" applyAlignment="0" applyProtection="0"/>
    <xf numFmtId="0" fontId="103" fillId="16" borderId="0" applyNumberFormat="0" applyBorder="0" applyAlignment="0" applyProtection="0">
      <alignment vertical="center"/>
    </xf>
    <xf numFmtId="0" fontId="119" fillId="0" borderId="0" applyNumberFormat="0" applyFill="0" applyBorder="0" applyAlignment="0" applyProtection="0">
      <alignment vertical="center"/>
    </xf>
    <xf numFmtId="0" fontId="0" fillId="0" borderId="0"/>
    <xf numFmtId="0" fontId="101" fillId="43" borderId="0" applyNumberFormat="0" applyBorder="0" applyAlignment="0" applyProtection="0">
      <alignment vertical="center"/>
    </xf>
    <xf numFmtId="0" fontId="102" fillId="0" borderId="0">
      <alignment vertical="center"/>
    </xf>
    <xf numFmtId="0" fontId="101" fillId="40" borderId="0" applyNumberFormat="0" applyBorder="0" applyAlignment="0" applyProtection="0">
      <alignment vertical="center"/>
    </xf>
    <xf numFmtId="0" fontId="125" fillId="0" borderId="0" applyNumberFormat="0" applyFill="0" applyBorder="0" applyAlignment="0" applyProtection="0">
      <alignment vertical="center"/>
    </xf>
    <xf numFmtId="0" fontId="118" fillId="0" borderId="0" applyNumberFormat="0" applyFill="0" applyBorder="0" applyAlignment="0" applyProtection="0">
      <alignment vertical="center"/>
    </xf>
    <xf numFmtId="9" fontId="128" fillId="0" borderId="0" applyFont="0" applyFill="0" applyBorder="0" applyAlignment="0" applyProtection="0">
      <alignment vertical="center"/>
    </xf>
    <xf numFmtId="0" fontId="123" fillId="0" borderId="66" applyNumberFormat="0" applyFill="0" applyAlignment="0" applyProtection="0">
      <alignment vertical="center"/>
    </xf>
    <xf numFmtId="0" fontId="102" fillId="0" borderId="0">
      <alignment vertical="center"/>
    </xf>
    <xf numFmtId="9" fontId="128" fillId="0" borderId="0" applyFont="0" applyFill="0" applyBorder="0" applyAlignment="0" applyProtection="0">
      <alignment vertical="center"/>
    </xf>
    <xf numFmtId="0" fontId="0" fillId="0" borderId="0"/>
    <xf numFmtId="0" fontId="110" fillId="0" borderId="63" applyNumberFormat="0" applyFill="0" applyAlignment="0" applyProtection="0">
      <alignment vertical="center"/>
    </xf>
    <xf numFmtId="0" fontId="101" fillId="48" borderId="0" applyNumberFormat="0" applyBorder="0" applyAlignment="0" applyProtection="0">
      <alignment vertical="center"/>
    </xf>
    <xf numFmtId="201" fontId="27" fillId="0" borderId="0" applyFont="0" applyFill="0" applyBorder="0" applyAlignment="0" applyProtection="0"/>
    <xf numFmtId="0" fontId="0" fillId="0" borderId="0"/>
    <xf numFmtId="0" fontId="102" fillId="0" borderId="0">
      <alignment vertical="center"/>
    </xf>
    <xf numFmtId="9" fontId="128" fillId="0" borderId="0" applyFont="0" applyFill="0" applyBorder="0" applyAlignment="0" applyProtection="0">
      <alignment vertical="center"/>
    </xf>
    <xf numFmtId="0" fontId="119" fillId="0" borderId="69" applyNumberFormat="0" applyFill="0" applyAlignment="0" applyProtection="0">
      <alignment vertical="center"/>
    </xf>
    <xf numFmtId="0" fontId="116" fillId="0" borderId="0" applyNumberFormat="0" applyFill="0" applyBorder="0" applyProtection="0">
      <alignment vertical="top"/>
    </xf>
    <xf numFmtId="0" fontId="0" fillId="0" borderId="0"/>
    <xf numFmtId="0" fontId="101" fillId="39" borderId="0" applyNumberFormat="0" applyBorder="0" applyAlignment="0" applyProtection="0">
      <alignment vertical="center"/>
    </xf>
    <xf numFmtId="0" fontId="121" fillId="12" borderId="65" applyNumberFormat="0" applyAlignment="0" applyProtection="0">
      <alignment vertical="center"/>
    </xf>
    <xf numFmtId="43" fontId="25" fillId="0" borderId="0" applyProtection="0"/>
    <xf numFmtId="43" fontId="0" fillId="0" borderId="0" applyFont="0" applyFill="0" applyBorder="0" applyAlignment="0" applyProtection="0"/>
    <xf numFmtId="0" fontId="0" fillId="0" borderId="0" applyFont="0" applyFill="0" applyBorder="0" applyAlignment="0" applyProtection="0"/>
    <xf numFmtId="0" fontId="103" fillId="16" borderId="0" applyNumberFormat="0" applyBorder="0" applyAlignment="0" applyProtection="0">
      <alignment vertical="center"/>
    </xf>
    <xf numFmtId="0" fontId="119" fillId="0" borderId="0" applyNumberFormat="0" applyFill="0" applyBorder="0" applyAlignment="0" applyProtection="0">
      <alignment vertical="center"/>
    </xf>
    <xf numFmtId="205" fontId="27" fillId="0" borderId="0" applyFont="0" applyFill="0" applyBorder="0" applyAlignment="0" applyProtection="0"/>
    <xf numFmtId="0" fontId="112" fillId="5" borderId="62" applyNumberFormat="0" applyAlignment="0" applyProtection="0">
      <alignment vertical="center"/>
    </xf>
    <xf numFmtId="0" fontId="109" fillId="12" borderId="62" applyNumberFormat="0" applyAlignment="0" applyProtection="0">
      <alignment vertical="center"/>
    </xf>
    <xf numFmtId="0" fontId="108" fillId="36" borderId="0" applyNumberFormat="0" applyBorder="0" applyAlignment="0" applyProtection="0">
      <alignment vertical="center"/>
    </xf>
    <xf numFmtId="0" fontId="130" fillId="47" borderId="71" applyNumberFormat="0" applyAlignment="0" applyProtection="0">
      <alignment vertical="center"/>
    </xf>
    <xf numFmtId="0" fontId="25" fillId="45" borderId="67" applyNumberFormat="0" applyFont="0" applyAlignment="0" applyProtection="0">
      <alignment vertical="center"/>
    </xf>
    <xf numFmtId="0" fontId="114" fillId="0" borderId="64" applyNumberFormat="0" applyFill="0" applyAlignment="0" applyProtection="0">
      <alignment vertical="center"/>
    </xf>
    <xf numFmtId="191" fontId="27" fillId="0" borderId="0" applyFont="0" applyFill="0" applyBorder="0" applyProtection="0">
      <alignment horizontal="right"/>
    </xf>
    <xf numFmtId="0" fontId="102" fillId="0" borderId="0"/>
    <xf numFmtId="0" fontId="108" fillId="5" borderId="0" applyNumberFormat="0" applyBorder="0" applyAlignment="0" applyProtection="0">
      <alignment vertical="center"/>
    </xf>
    <xf numFmtId="43" fontId="25" fillId="0" borderId="0" applyFont="0" applyFill="0" applyBorder="0" applyAlignment="0" applyProtection="0"/>
    <xf numFmtId="0" fontId="104" fillId="35" borderId="0" applyNumberFormat="0" applyBorder="0" applyAlignment="0" applyProtection="0">
      <alignment vertical="center"/>
    </xf>
    <xf numFmtId="180" fontId="27" fillId="0" borderId="0" applyFont="0" applyFill="0" applyBorder="0" applyAlignment="0" applyProtection="0"/>
    <xf numFmtId="0" fontId="101" fillId="38" borderId="0" applyNumberFormat="0" applyBorder="0" applyAlignment="0" applyProtection="0">
      <alignment vertical="center"/>
    </xf>
    <xf numFmtId="208" fontId="27" fillId="0" borderId="0" applyFont="0" applyFill="0" applyBorder="0" applyAlignment="0" applyProtection="0"/>
    <xf numFmtId="0" fontId="101" fillId="39" borderId="0" applyNumberFormat="0" applyBorder="0" applyAlignment="0" applyProtection="0">
      <alignment vertical="center"/>
    </xf>
    <xf numFmtId="0" fontId="124" fillId="0" borderId="68" applyNumberFormat="0" applyFill="0" applyAlignment="0" applyProtection="0">
      <alignment vertical="center"/>
    </xf>
    <xf numFmtId="0" fontId="103" fillId="16" borderId="0" applyNumberFormat="0" applyBorder="0" applyAlignment="0" applyProtection="0">
      <alignment vertical="center"/>
    </xf>
    <xf numFmtId="0" fontId="131" fillId="0" borderId="0" applyNumberFormat="0" applyFill="0" applyBorder="0" applyAlignment="0" applyProtection="0"/>
    <xf numFmtId="0" fontId="129" fillId="0" borderId="70" applyNumberFormat="0" applyFill="0" applyAlignment="0" applyProtection="0">
      <alignment vertical="center"/>
    </xf>
    <xf numFmtId="0" fontId="113" fillId="3" borderId="0" applyNumberFormat="0" applyBorder="0" applyAlignment="0" applyProtection="0">
      <alignment vertical="center"/>
    </xf>
    <xf numFmtId="0" fontId="102" fillId="0" borderId="0"/>
    <xf numFmtId="0" fontId="108" fillId="30" borderId="0" applyNumberFormat="0" applyBorder="0" applyAlignment="0" applyProtection="0">
      <alignment vertical="center"/>
    </xf>
    <xf numFmtId="43" fontId="25" fillId="0" borderId="0" applyFont="0" applyFill="0" applyBorder="0" applyAlignment="0" applyProtection="0"/>
    <xf numFmtId="0" fontId="101" fillId="43" borderId="0" applyNumberFormat="0" applyBorder="0" applyAlignment="0" applyProtection="0">
      <alignment vertical="center"/>
    </xf>
    <xf numFmtId="0" fontId="108" fillId="37" borderId="0" applyNumberFormat="0" applyBorder="0" applyAlignment="0" applyProtection="0">
      <alignment vertical="center"/>
    </xf>
    <xf numFmtId="0" fontId="108" fillId="46" borderId="0" applyNumberFormat="0" applyBorder="0" applyAlignment="0" applyProtection="0">
      <alignment vertical="center"/>
    </xf>
    <xf numFmtId="0" fontId="121" fillId="12" borderId="65" applyNumberFormat="0" applyAlignment="0" applyProtection="0">
      <alignment vertical="center"/>
    </xf>
    <xf numFmtId="0" fontId="108" fillId="35" borderId="0" applyNumberFormat="0" applyBorder="0" applyAlignment="0" applyProtection="0">
      <alignment vertical="center"/>
    </xf>
    <xf numFmtId="3" fontId="132" fillId="0" borderId="4"/>
    <xf numFmtId="0" fontId="108" fillId="40" borderId="0" applyNumberFormat="0" applyBorder="0" applyAlignment="0" applyProtection="0">
      <alignment vertical="center"/>
    </xf>
    <xf numFmtId="41" fontId="0" fillId="0" borderId="0" applyFont="0" applyFill="0" applyBorder="0" applyAlignment="0" applyProtection="0"/>
    <xf numFmtId="43" fontId="25" fillId="0" borderId="0" applyFont="0" applyFill="0" applyBorder="0" applyAlignment="0" applyProtection="0"/>
    <xf numFmtId="0" fontId="101" fillId="44" borderId="0" applyNumberFormat="0" applyBorder="0" applyAlignment="0" applyProtection="0">
      <alignment vertical="center"/>
    </xf>
    <xf numFmtId="0" fontId="101" fillId="39" borderId="0" applyNumberFormat="0" applyBorder="0" applyAlignment="0" applyProtection="0">
      <alignment vertical="center"/>
    </xf>
    <xf numFmtId="0" fontId="106" fillId="0" borderId="0"/>
    <xf numFmtId="0" fontId="108" fillId="36" borderId="0" applyNumberFormat="0" applyBorder="0" applyAlignment="0" applyProtection="0">
      <alignment vertical="center"/>
    </xf>
    <xf numFmtId="0" fontId="0" fillId="0" borderId="0"/>
    <xf numFmtId="0" fontId="108" fillId="36" borderId="0" applyNumberFormat="0" applyBorder="0" applyAlignment="0" applyProtection="0">
      <alignment vertical="center"/>
    </xf>
    <xf numFmtId="0" fontId="101" fillId="34" borderId="0" applyNumberFormat="0" applyBorder="0" applyAlignment="0" applyProtection="0">
      <alignment vertical="center"/>
    </xf>
    <xf numFmtId="0" fontId="108" fillId="46" borderId="0" applyNumberFormat="0" applyBorder="0" applyAlignment="0" applyProtection="0">
      <alignment vertical="center"/>
    </xf>
    <xf numFmtId="0" fontId="101" fillId="34" borderId="0" applyNumberFormat="0" applyBorder="0" applyAlignment="0" applyProtection="0">
      <alignment vertical="center"/>
    </xf>
    <xf numFmtId="0" fontId="119" fillId="0" borderId="69" applyNumberFormat="0" applyFill="0" applyAlignment="0" applyProtection="0">
      <alignment vertical="center"/>
    </xf>
    <xf numFmtId="195" fontId="27" fillId="0" borderId="0" applyFont="0" applyFill="0" applyBorder="0" applyAlignment="0" applyProtection="0"/>
    <xf numFmtId="0" fontId="0" fillId="0" borderId="0"/>
    <xf numFmtId="0" fontId="101" fillId="42" borderId="0" applyNumberFormat="0" applyBorder="0" applyAlignment="0" applyProtection="0">
      <alignment vertical="center"/>
    </xf>
    <xf numFmtId="0" fontId="27" fillId="0" borderId="0"/>
    <xf numFmtId="0" fontId="108" fillId="8" borderId="0" applyNumberFormat="0" applyBorder="0" applyAlignment="0" applyProtection="0">
      <alignment vertical="center"/>
    </xf>
    <xf numFmtId="0" fontId="101" fillId="49" borderId="0" applyNumberFormat="0" applyBorder="0" applyAlignment="0" applyProtection="0">
      <alignment vertical="center"/>
    </xf>
    <xf numFmtId="0" fontId="0" fillId="0" borderId="0"/>
    <xf numFmtId="0" fontId="0" fillId="0" borderId="0"/>
    <xf numFmtId="204" fontId="27" fillId="0" borderId="0" applyFont="0" applyFill="0" applyBorder="0" applyAlignment="0" applyProtection="0"/>
    <xf numFmtId="0" fontId="25" fillId="0" borderId="0">
      <alignment vertical="center"/>
    </xf>
    <xf numFmtId="0" fontId="108" fillId="36" borderId="0" applyNumberFormat="0" applyBorder="0" applyAlignment="0" applyProtection="0">
      <alignment vertical="center"/>
    </xf>
    <xf numFmtId="0" fontId="106" fillId="0" borderId="0"/>
    <xf numFmtId="0" fontId="133" fillId="0" borderId="72" applyNumberFormat="0" applyFill="0" applyAlignment="0" applyProtection="0"/>
    <xf numFmtId="0" fontId="107" fillId="16" borderId="0" applyNumberFormat="0" applyBorder="0" applyAlignment="0" applyProtection="0">
      <alignment vertical="center"/>
    </xf>
    <xf numFmtId="0" fontId="133" fillId="0" borderId="72" applyNumberFormat="0" applyFill="0" applyAlignment="0" applyProtection="0"/>
    <xf numFmtId="0" fontId="133" fillId="0" borderId="72" applyNumberFormat="0" applyFill="0" applyAlignment="0" applyProtection="0"/>
    <xf numFmtId="0" fontId="108" fillId="12" borderId="0" applyNumberFormat="0" applyBorder="0" applyAlignment="0" applyProtection="0">
      <alignment vertical="center"/>
    </xf>
    <xf numFmtId="0" fontId="134" fillId="0" borderId="73" applyNumberFormat="0" applyFill="0" applyProtection="0">
      <alignment horizontal="center"/>
    </xf>
    <xf numFmtId="0" fontId="108" fillId="30" borderId="0" applyNumberFormat="0" applyBorder="0" applyAlignment="0" applyProtection="0">
      <alignment vertical="center"/>
    </xf>
    <xf numFmtId="0" fontId="134" fillId="0" borderId="73" applyNumberFormat="0" applyFill="0" applyProtection="0">
      <alignment horizontal="center"/>
    </xf>
    <xf numFmtId="0" fontId="134" fillId="0" borderId="73" applyNumberFormat="0" applyFill="0" applyProtection="0">
      <alignment horizontal="center"/>
    </xf>
    <xf numFmtId="0" fontId="134" fillId="0" borderId="0" applyNumberFormat="0" applyFill="0" applyBorder="0" applyProtection="0">
      <alignment horizontal="left"/>
    </xf>
    <xf numFmtId="0" fontId="135" fillId="0" borderId="0" applyNumberFormat="0" applyFill="0" applyBorder="0" applyProtection="0">
      <alignment horizontal="centerContinuous"/>
    </xf>
    <xf numFmtId="0" fontId="0" fillId="0" borderId="0"/>
    <xf numFmtId="43" fontId="25" fillId="0" borderId="0" applyProtection="0"/>
    <xf numFmtId="0" fontId="0" fillId="0" borderId="0"/>
    <xf numFmtId="0" fontId="25" fillId="0" borderId="0"/>
    <xf numFmtId="0" fontId="136" fillId="0" borderId="0" applyNumberFormat="0" applyFill="0" applyBorder="0" applyAlignment="0" applyProtection="0">
      <alignment vertical="center"/>
    </xf>
    <xf numFmtId="0" fontId="106" fillId="0" borderId="0"/>
    <xf numFmtId="0" fontId="106" fillId="0" borderId="0"/>
    <xf numFmtId="0" fontId="101" fillId="44" borderId="0" applyNumberFormat="0" applyBorder="0" applyAlignment="0" applyProtection="0">
      <alignment vertical="center"/>
    </xf>
    <xf numFmtId="0" fontId="115" fillId="35" borderId="0" applyNumberFormat="0" applyBorder="0" applyAlignment="0" applyProtection="0">
      <alignment vertical="center"/>
    </xf>
    <xf numFmtId="0" fontId="0" fillId="0" borderId="0"/>
    <xf numFmtId="0" fontId="0" fillId="0" borderId="0"/>
    <xf numFmtId="0" fontId="106" fillId="0" borderId="0"/>
    <xf numFmtId="0" fontId="0" fillId="0" borderId="0"/>
    <xf numFmtId="0" fontId="108" fillId="16" borderId="0" applyNumberFormat="0" applyBorder="0" applyAlignment="0" applyProtection="0">
      <alignment vertical="center"/>
    </xf>
    <xf numFmtId="0" fontId="0" fillId="0" borderId="0"/>
    <xf numFmtId="0" fontId="0" fillId="0" borderId="0"/>
    <xf numFmtId="0" fontId="101" fillId="43" borderId="0" applyNumberFormat="0" applyBorder="0" applyAlignment="0" applyProtection="0">
      <alignment vertical="center"/>
    </xf>
    <xf numFmtId="0" fontId="118" fillId="0" borderId="0" applyNumberFormat="0" applyFill="0" applyBorder="0" applyAlignment="0" applyProtection="0">
      <alignment vertical="center"/>
    </xf>
    <xf numFmtId="0" fontId="0" fillId="0" borderId="0"/>
    <xf numFmtId="0" fontId="25" fillId="0" borderId="0"/>
    <xf numFmtId="0" fontId="115" fillId="35" borderId="0" applyNumberFormat="0" applyBorder="0" applyAlignment="0" applyProtection="0">
      <alignment vertical="center"/>
    </xf>
    <xf numFmtId="0" fontId="0" fillId="0" borderId="0"/>
    <xf numFmtId="0" fontId="0" fillId="0" borderId="0"/>
    <xf numFmtId="0" fontId="103" fillId="16" borderId="0" applyNumberFormat="0" applyBorder="0" applyAlignment="0" applyProtection="0">
      <alignment vertical="center"/>
    </xf>
    <xf numFmtId="0" fontId="106" fillId="0" borderId="0"/>
    <xf numFmtId="0" fontId="110" fillId="0" borderId="63" applyNumberFormat="0" applyFill="0" applyAlignment="0" applyProtection="0">
      <alignment vertical="center"/>
    </xf>
    <xf numFmtId="9" fontId="128" fillId="0" borderId="0" applyFont="0" applyFill="0" applyBorder="0" applyAlignment="0" applyProtection="0">
      <alignment vertical="center"/>
    </xf>
    <xf numFmtId="0" fontId="106" fillId="0" borderId="0"/>
    <xf numFmtId="0" fontId="106" fillId="0" borderId="0"/>
    <xf numFmtId="0" fontId="101" fillId="38" borderId="0" applyNumberFormat="0" applyBorder="0" applyAlignment="0" applyProtection="0">
      <alignment vertical="center"/>
    </xf>
    <xf numFmtId="0" fontId="108" fillId="2" borderId="0" applyNumberFormat="0" applyBorder="0" applyAlignment="0" applyProtection="0">
      <alignment vertical="center"/>
    </xf>
    <xf numFmtId="0" fontId="101" fillId="38" borderId="0" applyNumberFormat="0" applyBorder="0" applyAlignment="0" applyProtection="0">
      <alignment vertical="center"/>
    </xf>
    <xf numFmtId="0" fontId="101" fillId="41" borderId="0" applyNumberFormat="0" applyBorder="0" applyAlignment="0" applyProtection="0">
      <alignment vertical="center"/>
    </xf>
    <xf numFmtId="0" fontId="108" fillId="5" borderId="0" applyNumberFormat="0" applyBorder="0" applyAlignment="0" applyProtection="0">
      <alignment vertical="center"/>
    </xf>
    <xf numFmtId="0" fontId="101" fillId="41" borderId="0" applyNumberFormat="0" applyBorder="0" applyAlignment="0" applyProtection="0">
      <alignment vertical="center"/>
    </xf>
    <xf numFmtId="0" fontId="108" fillId="45" borderId="0" applyNumberFormat="0" applyBorder="0" applyAlignment="0" applyProtection="0">
      <alignment vertical="center"/>
    </xf>
    <xf numFmtId="0" fontId="108" fillId="2" borderId="0" applyNumberFormat="0" applyBorder="0" applyAlignment="0" applyProtection="0">
      <alignment vertical="center"/>
    </xf>
    <xf numFmtId="0" fontId="108" fillId="5" borderId="0" applyNumberFormat="0" applyBorder="0" applyAlignment="0" applyProtection="0">
      <alignment vertical="center"/>
    </xf>
    <xf numFmtId="0" fontId="0" fillId="0" borderId="0" applyFont="0" applyFill="0" applyBorder="0" applyAlignment="0" applyProtection="0"/>
    <xf numFmtId="0" fontId="0" fillId="0" borderId="0"/>
    <xf numFmtId="0" fontId="108" fillId="37" borderId="0" applyNumberFormat="0" applyBorder="0" applyAlignment="0" applyProtection="0">
      <alignment vertical="center"/>
    </xf>
    <xf numFmtId="0" fontId="25" fillId="45" borderId="67" applyNumberFormat="0" applyFont="0" applyAlignment="0" applyProtection="0">
      <alignment vertical="center"/>
    </xf>
    <xf numFmtId="0" fontId="108" fillId="37" borderId="0" applyNumberFormat="0" applyBorder="0" applyAlignment="0" applyProtection="0">
      <alignment vertical="center"/>
    </xf>
    <xf numFmtId="0" fontId="108" fillId="40" borderId="0" applyNumberFormat="0" applyBorder="0" applyAlignment="0" applyProtection="0">
      <alignment vertical="center"/>
    </xf>
    <xf numFmtId="0" fontId="108" fillId="37" borderId="0" applyNumberFormat="0" applyBorder="0" applyAlignment="0" applyProtection="0">
      <alignment vertical="center"/>
    </xf>
    <xf numFmtId="0" fontId="121" fillId="12" borderId="65" applyNumberFormat="0" applyAlignment="0" applyProtection="0">
      <alignment vertical="center"/>
    </xf>
    <xf numFmtId="0" fontId="115" fillId="35" borderId="0" applyNumberFormat="0" applyBorder="0" applyAlignment="0" applyProtection="0">
      <alignment vertical="center"/>
    </xf>
    <xf numFmtId="0" fontId="108" fillId="35" borderId="0" applyNumberFormat="0" applyBorder="0" applyAlignment="0" applyProtection="0">
      <alignment vertical="center"/>
    </xf>
    <xf numFmtId="0" fontId="108" fillId="35" borderId="0" applyNumberFormat="0" applyBorder="0" applyAlignment="0" applyProtection="0">
      <alignment vertical="center"/>
    </xf>
    <xf numFmtId="0" fontId="108" fillId="35" borderId="0" applyNumberFormat="0" applyBorder="0" applyAlignment="0" applyProtection="0">
      <alignment vertical="center"/>
    </xf>
    <xf numFmtId="0" fontId="127" fillId="0" borderId="63" applyNumberFormat="0" applyFill="0" applyAlignment="0" applyProtection="0">
      <alignment vertical="center"/>
    </xf>
    <xf numFmtId="0" fontId="108" fillId="16" borderId="0" applyNumberFormat="0" applyBorder="0" applyAlignment="0" applyProtection="0">
      <alignment vertical="center"/>
    </xf>
    <xf numFmtId="0" fontId="108" fillId="16" borderId="0" applyNumberFormat="0" applyBorder="0" applyAlignment="0" applyProtection="0">
      <alignment vertical="center"/>
    </xf>
    <xf numFmtId="0" fontId="25" fillId="0" borderId="0"/>
    <xf numFmtId="0" fontId="108" fillId="36" borderId="0" applyNumberFormat="0" applyBorder="0" applyAlignment="0" applyProtection="0">
      <alignment vertical="center"/>
    </xf>
    <xf numFmtId="0" fontId="25" fillId="0" borderId="0"/>
    <xf numFmtId="0" fontId="108" fillId="36" borderId="0" applyNumberFormat="0" applyBorder="0" applyAlignment="0" applyProtection="0">
      <alignment vertical="center"/>
    </xf>
    <xf numFmtId="0" fontId="128" fillId="0" borderId="0">
      <alignment vertical="center"/>
    </xf>
    <xf numFmtId="0" fontId="108" fillId="30" borderId="0" applyNumberFormat="0" applyBorder="0" applyAlignment="0" applyProtection="0">
      <alignment vertical="center"/>
    </xf>
    <xf numFmtId="0" fontId="128" fillId="0" borderId="0">
      <alignment vertical="center"/>
    </xf>
    <xf numFmtId="0" fontId="0" fillId="0" borderId="0"/>
    <xf numFmtId="0" fontId="108" fillId="30" borderId="0" applyNumberFormat="0" applyBorder="0" applyAlignment="0" applyProtection="0">
      <alignment vertical="center"/>
    </xf>
    <xf numFmtId="0" fontId="108" fillId="5" borderId="0" applyNumberFormat="0" applyBorder="0" applyAlignment="0" applyProtection="0">
      <alignment vertical="center"/>
    </xf>
    <xf numFmtId="0" fontId="108" fillId="5" borderId="0" applyNumberFormat="0" applyBorder="0" applyAlignment="0" applyProtection="0">
      <alignment vertical="center"/>
    </xf>
    <xf numFmtId="0" fontId="25" fillId="0" borderId="0"/>
    <xf numFmtId="0" fontId="108" fillId="5" borderId="0" applyNumberFormat="0" applyBorder="0" applyAlignment="0" applyProtection="0">
      <alignment vertical="center"/>
    </xf>
    <xf numFmtId="0" fontId="108" fillId="40" borderId="0" applyNumberFormat="0" applyBorder="0" applyAlignment="0" applyProtection="0">
      <alignment vertical="center"/>
    </xf>
    <xf numFmtId="0" fontId="108" fillId="3" borderId="0" applyNumberFormat="0" applyBorder="0" applyAlignment="0" applyProtection="0">
      <alignment vertical="center"/>
    </xf>
    <xf numFmtId="0" fontId="108" fillId="12" borderId="0" applyNumberFormat="0" applyBorder="0" applyAlignment="0" applyProtection="0">
      <alignment vertical="center"/>
    </xf>
    <xf numFmtId="0" fontId="111" fillId="0" borderId="0" applyNumberFormat="0" applyFill="0" applyBorder="0" applyAlignment="0" applyProtection="0">
      <alignment vertical="center"/>
    </xf>
    <xf numFmtId="0" fontId="108" fillId="46" borderId="0" applyNumberFormat="0" applyBorder="0" applyAlignment="0" applyProtection="0">
      <alignment vertical="center"/>
    </xf>
    <xf numFmtId="0" fontId="108" fillId="5" borderId="0" applyNumberFormat="0" applyBorder="0" applyAlignment="0" applyProtection="0">
      <alignment vertical="center"/>
    </xf>
    <xf numFmtId="0" fontId="108" fillId="46" borderId="0" applyNumberFormat="0" applyBorder="0" applyAlignment="0" applyProtection="0">
      <alignment vertical="center"/>
    </xf>
    <xf numFmtId="0" fontId="108" fillId="46" borderId="0" applyNumberFormat="0" applyBorder="0" applyAlignment="0" applyProtection="0">
      <alignment vertical="center"/>
    </xf>
    <xf numFmtId="0" fontId="108" fillId="46" borderId="0" applyNumberFormat="0" applyBorder="0" applyAlignment="0" applyProtection="0">
      <alignment vertical="center"/>
    </xf>
    <xf numFmtId="0" fontId="108" fillId="40" borderId="0" applyNumberFormat="0" applyBorder="0" applyAlignment="0" applyProtection="0">
      <alignment vertical="center"/>
    </xf>
    <xf numFmtId="0" fontId="0" fillId="0" borderId="0" applyFont="0" applyFill="0" applyBorder="0" applyAlignment="0" applyProtection="0"/>
    <xf numFmtId="0" fontId="108" fillId="40" borderId="0" applyNumberFormat="0" applyBorder="0" applyAlignment="0" applyProtection="0">
      <alignment vertical="center"/>
    </xf>
    <xf numFmtId="0" fontId="109" fillId="12" borderId="62" applyNumberFormat="0" applyAlignment="0" applyProtection="0">
      <alignment vertical="center"/>
    </xf>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43" fontId="25" fillId="0" borderId="0" applyFont="0" applyFill="0" applyBorder="0" applyAlignment="0" applyProtection="0"/>
    <xf numFmtId="0" fontId="130" fillId="47" borderId="71" applyNumberFormat="0" applyAlignment="0" applyProtection="0">
      <alignment vertical="center"/>
    </xf>
    <xf numFmtId="0" fontId="124" fillId="0" borderId="68" applyNumberFormat="0" applyFill="0" applyAlignment="0" applyProtection="0">
      <alignment vertical="center"/>
    </xf>
    <xf numFmtId="0" fontId="114" fillId="0" borderId="64" applyNumberFormat="0" applyFill="0" applyAlignment="0" applyProtection="0">
      <alignment vertical="center"/>
    </xf>
    <xf numFmtId="0" fontId="108" fillId="36" borderId="0" applyNumberFormat="0" applyBorder="0" applyAlignment="0" applyProtection="0">
      <alignment vertical="center"/>
    </xf>
    <xf numFmtId="43" fontId="25" fillId="0" borderId="0" applyFont="0" applyFill="0" applyBorder="0" applyAlignment="0" applyProtection="0"/>
    <xf numFmtId="0" fontId="108" fillId="36" borderId="0" applyNumberFormat="0" applyBorder="0" applyAlignment="0" applyProtection="0">
      <alignment vertical="center"/>
    </xf>
    <xf numFmtId="0" fontId="103" fillId="16" borderId="0" applyNumberFormat="0" applyBorder="0" applyAlignment="0" applyProtection="0">
      <alignment vertical="center"/>
    </xf>
    <xf numFmtId="0" fontId="108" fillId="46" borderId="0" applyNumberFormat="0" applyBorder="0" applyAlignment="0" applyProtection="0">
      <alignment vertical="center"/>
    </xf>
    <xf numFmtId="0" fontId="108" fillId="46" borderId="0" applyNumberFormat="0" applyBorder="0" applyAlignment="0" applyProtection="0">
      <alignment vertical="center"/>
    </xf>
    <xf numFmtId="0" fontId="104" fillId="35" borderId="0" applyNumberFormat="0" applyBorder="0" applyAlignment="0" applyProtection="0">
      <alignment vertical="center"/>
    </xf>
    <xf numFmtId="0" fontId="108" fillId="46" borderId="0" applyNumberFormat="0" applyBorder="0" applyAlignment="0" applyProtection="0">
      <alignment vertical="center"/>
    </xf>
    <xf numFmtId="0" fontId="108" fillId="8" borderId="0" applyNumberFormat="0" applyBorder="0" applyAlignment="0" applyProtection="0">
      <alignment vertical="center"/>
    </xf>
    <xf numFmtId="0" fontId="108" fillId="8" borderId="0" applyNumberFormat="0" applyBorder="0" applyAlignment="0" applyProtection="0">
      <alignment vertical="center"/>
    </xf>
    <xf numFmtId="0" fontId="0" fillId="0" borderId="0"/>
    <xf numFmtId="0" fontId="108" fillId="8" borderId="0" applyNumberFormat="0" applyBorder="0" applyAlignment="0" applyProtection="0">
      <alignment vertical="center"/>
    </xf>
    <xf numFmtId="0" fontId="104" fillId="35" borderId="0" applyNumberFormat="0" applyBorder="0" applyAlignment="0" applyProtection="0">
      <alignment vertical="center"/>
    </xf>
    <xf numFmtId="0" fontId="117" fillId="34" borderId="0" applyNumberFormat="0" applyBorder="0" applyAlignment="0" applyProtection="0">
      <alignment vertical="center"/>
    </xf>
    <xf numFmtId="0" fontId="25" fillId="0" borderId="0"/>
    <xf numFmtId="0" fontId="117" fillId="40" borderId="0" applyNumberFormat="0" applyBorder="0" applyAlignment="0" applyProtection="0">
      <alignment vertical="center"/>
    </xf>
    <xf numFmtId="0" fontId="103" fillId="16" borderId="0" applyNumberFormat="0" applyBorder="0" applyAlignment="0" applyProtection="0">
      <alignment vertical="center"/>
    </xf>
    <xf numFmtId="0" fontId="25" fillId="0" borderId="0"/>
    <xf numFmtId="0" fontId="117" fillId="3" borderId="0" applyNumberFormat="0" applyBorder="0" applyAlignment="0" applyProtection="0">
      <alignment vertical="center"/>
    </xf>
    <xf numFmtId="0" fontId="25" fillId="0" borderId="0"/>
    <xf numFmtId="0" fontId="117" fillId="12" borderId="0" applyNumberFormat="0" applyBorder="0" applyAlignment="0" applyProtection="0">
      <alignment vertical="center"/>
    </xf>
    <xf numFmtId="0" fontId="101" fillId="39" borderId="0" applyNumberFormat="0" applyBorder="0" applyAlignment="0" applyProtection="0">
      <alignment vertical="center"/>
    </xf>
    <xf numFmtId="0" fontId="25" fillId="0" borderId="0"/>
    <xf numFmtId="0" fontId="117" fillId="34" borderId="0" applyNumberFormat="0" applyBorder="0" applyAlignment="0" applyProtection="0">
      <alignment vertical="center"/>
    </xf>
    <xf numFmtId="0" fontId="117" fillId="5" borderId="0" applyNumberFormat="0" applyBorder="0" applyAlignment="0" applyProtection="0">
      <alignment vertical="center"/>
    </xf>
    <xf numFmtId="0" fontId="129" fillId="0" borderId="0" applyNumberFormat="0" applyFill="0" applyBorder="0" applyAlignment="0" applyProtection="0">
      <alignment vertical="center"/>
    </xf>
    <xf numFmtId="0" fontId="101" fillId="48" borderId="0" applyNumberFormat="0" applyBorder="0" applyAlignment="0" applyProtection="0">
      <alignment vertical="center"/>
    </xf>
    <xf numFmtId="0" fontId="101" fillId="48" borderId="0" applyNumberFormat="0" applyBorder="0" applyAlignment="0" applyProtection="0">
      <alignment vertical="center"/>
    </xf>
    <xf numFmtId="0" fontId="103" fillId="16" borderId="0" applyNumberFormat="0" applyBorder="0" applyAlignment="0" applyProtection="0">
      <alignment vertical="center"/>
    </xf>
    <xf numFmtId="0" fontId="101" fillId="48" borderId="0" applyNumberFormat="0" applyBorder="0" applyAlignment="0" applyProtection="0">
      <alignment vertical="center"/>
    </xf>
    <xf numFmtId="0" fontId="25" fillId="0" borderId="0">
      <alignment vertical="center"/>
    </xf>
    <xf numFmtId="0" fontId="101" fillId="40" borderId="0" applyNumberFormat="0" applyBorder="0" applyAlignment="0" applyProtection="0">
      <alignment vertical="center"/>
    </xf>
    <xf numFmtId="0" fontId="108" fillId="0" borderId="0">
      <alignment vertical="center"/>
    </xf>
    <xf numFmtId="0" fontId="115" fillId="35" borderId="0" applyNumberFormat="0" applyBorder="0" applyAlignment="0" applyProtection="0">
      <alignment vertical="center"/>
    </xf>
    <xf numFmtId="0" fontId="101" fillId="40" borderId="0" applyNumberFormat="0" applyBorder="0" applyAlignment="0" applyProtection="0">
      <alignment vertical="center"/>
    </xf>
    <xf numFmtId="0" fontId="115" fillId="35" borderId="0" applyNumberFormat="0" applyBorder="0" applyAlignment="0" applyProtection="0">
      <alignment vertical="center"/>
    </xf>
    <xf numFmtId="0" fontId="101" fillId="41" borderId="0" applyNumberFormat="0" applyBorder="0" applyAlignment="0" applyProtection="0">
      <alignment vertical="center"/>
    </xf>
    <xf numFmtId="0" fontId="113" fillId="3" borderId="0" applyNumberFormat="0" applyBorder="0" applyAlignment="0" applyProtection="0">
      <alignment vertical="center"/>
    </xf>
    <xf numFmtId="0" fontId="101" fillId="39" borderId="0" applyNumberFormat="0" applyBorder="0" applyAlignment="0" applyProtection="0">
      <alignment vertical="center"/>
    </xf>
    <xf numFmtId="0" fontId="101" fillId="44" borderId="0" applyNumberFormat="0" applyBorder="0" applyAlignment="0" applyProtection="0">
      <alignment vertical="center"/>
    </xf>
    <xf numFmtId="0" fontId="101" fillId="39" borderId="0" applyNumberFormat="0" applyBorder="0" applyAlignment="0" applyProtection="0">
      <alignment vertical="center"/>
    </xf>
    <xf numFmtId="0" fontId="101" fillId="34" borderId="0" applyNumberFormat="0" applyBorder="0" applyAlignment="0" applyProtection="0">
      <alignment vertical="center"/>
    </xf>
    <xf numFmtId="0" fontId="101" fillId="39" borderId="0" applyNumberFormat="0" applyBorder="0" applyAlignment="0" applyProtection="0">
      <alignment vertical="center"/>
    </xf>
    <xf numFmtId="0" fontId="101" fillId="34" borderId="0" applyNumberFormat="0" applyBorder="0" applyAlignment="0" applyProtection="0">
      <alignment vertical="center"/>
    </xf>
    <xf numFmtId="0" fontId="101" fillId="34" borderId="0" applyNumberFormat="0" applyBorder="0" applyAlignment="0" applyProtection="0">
      <alignment vertical="center"/>
    </xf>
    <xf numFmtId="0" fontId="101" fillId="49" borderId="0" applyNumberFormat="0" applyBorder="0" applyAlignment="0" applyProtection="0">
      <alignment vertical="center"/>
    </xf>
    <xf numFmtId="0" fontId="101" fillId="34" borderId="0" applyNumberFormat="0" applyBorder="0" applyAlignment="0" applyProtection="0">
      <alignment vertical="center"/>
    </xf>
    <xf numFmtId="0" fontId="101" fillId="49" borderId="0" applyNumberFormat="0" applyBorder="0" applyAlignment="0" applyProtection="0">
      <alignment vertical="center"/>
    </xf>
    <xf numFmtId="0" fontId="106" fillId="0" borderId="0"/>
    <xf numFmtId="0" fontId="101" fillId="49" borderId="0" applyNumberFormat="0" applyBorder="0" applyAlignment="0" applyProtection="0">
      <alignment vertical="center"/>
    </xf>
    <xf numFmtId="0" fontId="117" fillId="34" borderId="0" applyNumberFormat="0" applyBorder="0" applyAlignment="0" applyProtection="0">
      <alignment vertical="center"/>
    </xf>
    <xf numFmtId="0" fontId="117" fillId="38" borderId="0" applyNumberFormat="0" applyBorder="0" applyAlignment="0" applyProtection="0">
      <alignment vertical="center"/>
    </xf>
    <xf numFmtId="0" fontId="117" fillId="44" borderId="0" applyNumberFormat="0" applyBorder="0" applyAlignment="0" applyProtection="0">
      <alignment vertical="center"/>
    </xf>
    <xf numFmtId="0" fontId="117" fillId="50" borderId="0" applyNumberFormat="0" applyBorder="0" applyAlignment="0" applyProtection="0">
      <alignment vertical="center"/>
    </xf>
    <xf numFmtId="0" fontId="25" fillId="0" borderId="0"/>
    <xf numFmtId="0" fontId="117" fillId="34" borderId="0" applyNumberFormat="0" applyBorder="0" applyAlignment="0" applyProtection="0">
      <alignment vertical="center"/>
    </xf>
    <xf numFmtId="0" fontId="117" fillId="42" borderId="0" applyNumberFormat="0" applyBorder="0" applyAlignment="0" applyProtection="0">
      <alignment vertical="center"/>
    </xf>
    <xf numFmtId="0" fontId="103" fillId="16" borderId="0" applyNumberFormat="0" applyBorder="0" applyAlignment="0" applyProtection="0">
      <alignment vertical="center"/>
    </xf>
    <xf numFmtId="0" fontId="25" fillId="0" borderId="0"/>
    <xf numFmtId="0" fontId="115" fillId="35" borderId="0" applyNumberFormat="0" applyBorder="0" applyAlignment="0" applyProtection="0">
      <alignment vertical="center"/>
    </xf>
    <xf numFmtId="0" fontId="109" fillId="2" borderId="62" applyNumberFormat="0" applyAlignment="0" applyProtection="0">
      <alignment vertical="center"/>
    </xf>
    <xf numFmtId="3" fontId="25" fillId="0" borderId="4"/>
    <xf numFmtId="3" fontId="25" fillId="0" borderId="4"/>
    <xf numFmtId="3" fontId="25" fillId="0" borderId="4"/>
    <xf numFmtId="0" fontId="138" fillId="47" borderId="71" applyNumberFormat="0" applyAlignment="0" applyProtection="0">
      <alignment vertical="center"/>
    </xf>
    <xf numFmtId="38" fontId="27" fillId="0" borderId="0" applyFont="0" applyFill="0" applyBorder="0" applyAlignment="0" applyProtection="0"/>
    <xf numFmtId="41" fontId="25" fillId="0" borderId="0" applyFont="0" applyFill="0" applyBorder="0" applyAlignment="0" applyProtection="0">
      <alignment vertical="center"/>
    </xf>
    <xf numFmtId="43" fontId="27" fillId="0" borderId="0" applyFont="0" applyFill="0" applyBorder="0" applyAlignment="0" applyProtection="0"/>
    <xf numFmtId="178" fontId="27" fillId="0" borderId="0" applyFont="0" applyFill="0" applyBorder="0" applyAlignment="0" applyProtection="0"/>
    <xf numFmtId="0" fontId="103" fillId="16" borderId="0" applyNumberFormat="0" applyBorder="0" applyAlignment="0" applyProtection="0">
      <alignment vertical="center"/>
    </xf>
    <xf numFmtId="0" fontId="0" fillId="0" borderId="0"/>
    <xf numFmtId="0" fontId="103" fillId="16" borderId="0" applyNumberFormat="0" applyBorder="0" applyAlignment="0" applyProtection="0">
      <alignment vertical="center"/>
    </xf>
    <xf numFmtId="0" fontId="137" fillId="0" borderId="74" applyNumberFormat="0" applyFill="0" applyAlignment="0" applyProtection="0">
      <alignment vertical="center"/>
    </xf>
    <xf numFmtId="43" fontId="25" fillId="0" borderId="0" applyProtection="0"/>
    <xf numFmtId="0" fontId="102" fillId="0" borderId="0"/>
    <xf numFmtId="0" fontId="115" fillId="35" borderId="0" applyNumberFormat="0" applyBorder="0" applyAlignment="0" applyProtection="0">
      <alignment vertical="center"/>
    </xf>
    <xf numFmtId="0" fontId="27" fillId="0" borderId="0"/>
    <xf numFmtId="0" fontId="121" fillId="2" borderId="65" applyNumberFormat="0" applyAlignment="0" applyProtection="0">
      <alignment vertical="center"/>
    </xf>
    <xf numFmtId="0" fontId="0" fillId="0" borderId="0"/>
    <xf numFmtId="9" fontId="25" fillId="0" borderId="0" applyFont="0" applyFill="0" applyBorder="0" applyAlignment="0" applyProtection="0">
      <alignment vertical="center"/>
    </xf>
    <xf numFmtId="0" fontId="124" fillId="0" borderId="75" applyNumberFormat="0" applyFill="0" applyAlignment="0" applyProtection="0">
      <alignment vertical="center"/>
    </xf>
    <xf numFmtId="0" fontId="111" fillId="0" borderId="0" applyNumberForma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132" fillId="0" borderId="0" applyFont="0" applyFill="0" applyBorder="0" applyAlignment="0" applyProtection="0"/>
    <xf numFmtId="9" fontId="25" fillId="0" borderId="0" applyFont="0" applyFill="0" applyBorder="0" applyAlignment="0" applyProtection="0">
      <alignment vertical="center"/>
    </xf>
    <xf numFmtId="9" fontId="0" fillId="0" borderId="0" applyFont="0" applyFill="0" applyBorder="0" applyAlignment="0" applyProtection="0"/>
    <xf numFmtId="213"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0" fontId="123" fillId="0" borderId="66" applyNumberFormat="0" applyFill="0" applyAlignment="0" applyProtection="0">
      <alignment vertical="center"/>
    </xf>
    <xf numFmtId="9" fontId="128" fillId="0" borderId="0" applyFont="0" applyFill="0" applyBorder="0" applyAlignment="0" applyProtection="0">
      <alignment vertical="center"/>
    </xf>
    <xf numFmtId="0" fontId="115" fillId="35" borderId="0" applyNumberFormat="0" applyBorder="0" applyAlignment="0" applyProtection="0">
      <alignment vertical="center"/>
    </xf>
    <xf numFmtId="0" fontId="123" fillId="0" borderId="66" applyNumberFormat="0" applyFill="0" applyAlignment="0" applyProtection="0">
      <alignment vertical="center"/>
    </xf>
    <xf numFmtId="9" fontId="128" fillId="0" borderId="0" applyFont="0" applyFill="0" applyBorder="0" applyAlignment="0" applyProtection="0">
      <alignment vertical="center"/>
    </xf>
    <xf numFmtId="9" fontId="128" fillId="0" borderId="0" applyFont="0" applyFill="0" applyBorder="0" applyAlignment="0" applyProtection="0">
      <alignment vertical="center"/>
    </xf>
    <xf numFmtId="0" fontId="103" fillId="16" borderId="0" applyNumberFormat="0" applyBorder="0" applyAlignment="0" applyProtection="0">
      <alignment vertical="center"/>
    </xf>
    <xf numFmtId="0" fontId="119" fillId="0" borderId="69" applyNumberFormat="0" applyFill="0" applyAlignment="0" applyProtection="0">
      <alignment vertical="center"/>
    </xf>
    <xf numFmtId="9" fontId="128" fillId="0" borderId="0" applyFont="0" applyFill="0" applyBorder="0" applyAlignment="0" applyProtection="0">
      <alignment vertical="center"/>
    </xf>
    <xf numFmtId="0" fontId="119" fillId="0" borderId="69" applyNumberFormat="0" applyFill="0" applyAlignment="0" applyProtection="0">
      <alignment vertical="center"/>
    </xf>
    <xf numFmtId="9" fontId="128" fillId="0" borderId="0" applyFont="0" applyFill="0" applyBorder="0" applyAlignment="0" applyProtection="0">
      <alignment vertical="center"/>
    </xf>
    <xf numFmtId="9" fontId="128" fillId="0" borderId="0" applyFont="0" applyFill="0" applyBorder="0" applyAlignment="0" applyProtection="0">
      <alignment vertical="center"/>
    </xf>
    <xf numFmtId="0" fontId="123" fillId="0" borderId="66" applyNumberFormat="0" applyFill="0" applyAlignment="0" applyProtection="0">
      <alignment vertical="center"/>
    </xf>
    <xf numFmtId="0" fontId="110" fillId="0" borderId="63" applyNumberFormat="0" applyFill="0" applyAlignment="0" applyProtection="0">
      <alignment vertical="center"/>
    </xf>
    <xf numFmtId="0" fontId="110" fillId="0" borderId="63" applyNumberFormat="0" applyFill="0" applyAlignment="0" applyProtection="0">
      <alignment vertical="center"/>
    </xf>
    <xf numFmtId="43" fontId="25" fillId="0" borderId="0" applyFont="0" applyFill="0" applyBorder="0" applyAlignment="0" applyProtection="0"/>
    <xf numFmtId="0" fontId="103" fillId="16" borderId="0" applyNumberFormat="0" applyBorder="0" applyAlignment="0" applyProtection="0">
      <alignment vertical="center"/>
    </xf>
    <xf numFmtId="0" fontId="107" fillId="16" borderId="0" applyNumberFormat="0" applyBorder="0" applyAlignment="0" applyProtection="0">
      <alignment vertical="center"/>
    </xf>
    <xf numFmtId="0" fontId="119"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25" fillId="0" borderId="0" applyNumberFormat="0" applyFill="0" applyBorder="0" applyAlignment="0" applyProtection="0">
      <alignment vertical="center"/>
    </xf>
    <xf numFmtId="0" fontId="115" fillId="35" borderId="0" applyNumberFormat="0" applyBorder="0" applyAlignment="0" applyProtection="0">
      <alignment vertical="center"/>
    </xf>
    <xf numFmtId="0" fontId="115" fillId="35" borderId="0" applyNumberFormat="0" applyBorder="0" applyAlignment="0" applyProtection="0">
      <alignment vertical="center"/>
    </xf>
    <xf numFmtId="0" fontId="115" fillId="35" borderId="0" applyNumberFormat="0" applyBorder="0" applyAlignment="0" applyProtection="0">
      <alignment vertical="center"/>
    </xf>
    <xf numFmtId="0" fontId="101" fillId="39" borderId="0" applyNumberFormat="0" applyBorder="0" applyAlignment="0" applyProtection="0">
      <alignment vertical="center"/>
    </xf>
    <xf numFmtId="0" fontId="104" fillId="35" borderId="0" applyNumberFormat="0" applyBorder="0" applyAlignment="0" applyProtection="0">
      <alignment vertical="center"/>
    </xf>
    <xf numFmtId="0" fontId="115" fillId="35" borderId="0" applyNumberFormat="0" applyBorder="0" applyAlignment="0" applyProtection="0">
      <alignment vertical="center"/>
    </xf>
    <xf numFmtId="0" fontId="104" fillId="35" borderId="0" applyNumberFormat="0" applyBorder="0" applyAlignment="0" applyProtection="0">
      <alignment vertical="center"/>
    </xf>
    <xf numFmtId="0" fontId="115" fillId="35" borderId="0" applyNumberFormat="0" applyBorder="0" applyAlignment="0" applyProtection="0">
      <alignment vertical="center"/>
    </xf>
    <xf numFmtId="0" fontId="115" fillId="35" borderId="0" applyNumberFormat="0" applyBorder="0" applyAlignment="0" applyProtection="0">
      <alignment vertical="center"/>
    </xf>
    <xf numFmtId="0" fontId="115" fillId="35" borderId="0" applyNumberFormat="0" applyBorder="0" applyAlignment="0" applyProtection="0">
      <alignment vertical="center"/>
    </xf>
    <xf numFmtId="0" fontId="115" fillId="35" borderId="0" applyNumberFormat="0" applyBorder="0" applyAlignment="0" applyProtection="0">
      <alignment vertical="center"/>
    </xf>
    <xf numFmtId="0" fontId="104" fillId="35" borderId="0" applyNumberFormat="0" applyBorder="0" applyAlignment="0" applyProtection="0">
      <alignment vertical="center"/>
    </xf>
    <xf numFmtId="0" fontId="115" fillId="35" borderId="0" applyNumberFormat="0" applyBorder="0" applyAlignment="0" applyProtection="0">
      <alignment vertical="center"/>
    </xf>
    <xf numFmtId="0" fontId="115" fillId="35" borderId="0" applyNumberFormat="0" applyBorder="0" applyAlignment="0" applyProtection="0">
      <alignment vertical="center"/>
    </xf>
    <xf numFmtId="0" fontId="104" fillId="35" borderId="0" applyNumberFormat="0" applyBorder="0" applyAlignment="0" applyProtection="0">
      <alignment vertical="center"/>
    </xf>
    <xf numFmtId="0" fontId="104" fillId="35" borderId="0" applyNumberFormat="0" applyBorder="0" applyAlignment="0" applyProtection="0">
      <alignment vertical="center"/>
    </xf>
    <xf numFmtId="0" fontId="122" fillId="0" borderId="0" applyNumberFormat="0" applyFill="0" applyBorder="0" applyAlignment="0" applyProtection="0">
      <alignment vertical="top"/>
      <protection locked="0"/>
    </xf>
    <xf numFmtId="0" fontId="115" fillId="35" borderId="0" applyNumberFormat="0" applyBorder="0" applyAlignment="0" applyProtection="0">
      <alignment vertical="center"/>
    </xf>
    <xf numFmtId="0" fontId="115" fillId="35" borderId="0" applyNumberFormat="0" applyBorder="0" applyAlignment="0" applyProtection="0">
      <alignment vertical="center"/>
    </xf>
    <xf numFmtId="0" fontId="115" fillId="35" borderId="0" applyNumberFormat="0" applyBorder="0" applyAlignment="0" applyProtection="0">
      <alignment vertical="center"/>
    </xf>
    <xf numFmtId="0" fontId="115" fillId="35" borderId="0" applyNumberFormat="0" applyBorder="0" applyAlignment="0" applyProtection="0">
      <alignment vertical="center"/>
    </xf>
    <xf numFmtId="0" fontId="115" fillId="35" borderId="0" applyNumberFormat="0" applyBorder="0" applyAlignment="0" applyProtection="0">
      <alignment vertical="center"/>
    </xf>
    <xf numFmtId="0" fontId="115" fillId="35" borderId="0" applyNumberFormat="0" applyBorder="0" applyAlignment="0" applyProtection="0">
      <alignment vertical="center"/>
    </xf>
    <xf numFmtId="0" fontId="104" fillId="35" borderId="0" applyNumberFormat="0" applyBorder="0" applyAlignment="0" applyProtection="0">
      <alignment vertical="center"/>
    </xf>
    <xf numFmtId="0" fontId="25" fillId="0" borderId="0">
      <alignment vertical="center"/>
    </xf>
    <xf numFmtId="0" fontId="25" fillId="0" borderId="0">
      <alignment vertical="center"/>
    </xf>
    <xf numFmtId="0" fontId="27" fillId="0" borderId="0"/>
    <xf numFmtId="0" fontId="103" fillId="16" borderId="0" applyNumberFormat="0" applyBorder="0" applyAlignment="0" applyProtection="0">
      <alignment vertical="center"/>
    </xf>
    <xf numFmtId="0" fontId="25" fillId="0" borderId="0">
      <alignment vertical="center"/>
    </xf>
    <xf numFmtId="0" fontId="25" fillId="0" borderId="0"/>
    <xf numFmtId="0" fontId="25" fillId="0" borderId="0"/>
    <xf numFmtId="0" fontId="25" fillId="0" borderId="0"/>
    <xf numFmtId="0" fontId="25" fillId="0" borderId="0"/>
    <xf numFmtId="0" fontId="102" fillId="0" borderId="0">
      <alignment vertical="center"/>
    </xf>
    <xf numFmtId="0" fontId="25" fillId="0" borderId="0">
      <alignment vertical="center"/>
    </xf>
    <xf numFmtId="0" fontId="102" fillId="0" borderId="0">
      <alignment vertical="center"/>
    </xf>
    <xf numFmtId="0" fontId="101" fillId="42" borderId="0" applyNumberFormat="0" applyBorder="0" applyAlignment="0" applyProtection="0">
      <alignment vertical="center"/>
    </xf>
    <xf numFmtId="0" fontId="25" fillId="0" borderId="0">
      <alignment vertical="center"/>
    </xf>
    <xf numFmtId="0" fontId="102" fillId="0" borderId="0">
      <alignment vertical="center"/>
    </xf>
    <xf numFmtId="0" fontId="25" fillId="0" borderId="0">
      <alignment vertical="center"/>
    </xf>
    <xf numFmtId="0" fontId="108" fillId="0" borderId="0">
      <alignment vertical="center"/>
    </xf>
    <xf numFmtId="0" fontId="108" fillId="0" borderId="0">
      <alignment vertical="center"/>
    </xf>
    <xf numFmtId="0" fontId="102" fillId="0" borderId="0">
      <alignment vertical="center"/>
    </xf>
    <xf numFmtId="0" fontId="102" fillId="0" borderId="0">
      <alignment vertical="center"/>
    </xf>
    <xf numFmtId="0" fontId="101" fillId="42" borderId="0" applyNumberFormat="0" applyBorder="0" applyAlignment="0" applyProtection="0">
      <alignment vertical="center"/>
    </xf>
    <xf numFmtId="0" fontId="102" fillId="0" borderId="0">
      <alignment vertical="center"/>
    </xf>
    <xf numFmtId="0" fontId="102" fillId="0" borderId="0">
      <alignment vertical="center"/>
    </xf>
    <xf numFmtId="0" fontId="128" fillId="0" borderId="0">
      <alignment vertical="center"/>
    </xf>
    <xf numFmtId="0" fontId="102" fillId="0" borderId="0"/>
    <xf numFmtId="0" fontId="0" fillId="0" borderId="0"/>
    <xf numFmtId="0" fontId="25" fillId="0" borderId="0"/>
    <xf numFmtId="0" fontId="25" fillId="0" borderId="0"/>
    <xf numFmtId="0" fontId="106" fillId="0" borderId="0"/>
    <xf numFmtId="0" fontId="106" fillId="0" borderId="0"/>
    <xf numFmtId="43" fontId="25" fillId="0" borderId="0" applyFont="0" applyFill="0" applyBorder="0" applyAlignment="0" applyProtection="0"/>
    <xf numFmtId="0" fontId="0" fillId="0" borderId="0"/>
    <xf numFmtId="212" fontId="25" fillId="0" borderId="0">
      <alignment vertical="center"/>
    </xf>
    <xf numFmtId="0" fontId="25" fillId="0" borderId="0">
      <alignment vertical="center"/>
    </xf>
    <xf numFmtId="0" fontId="25" fillId="0" borderId="0"/>
    <xf numFmtId="0" fontId="139" fillId="0" borderId="0" applyNumberFormat="0" applyFill="0" applyBorder="0" applyAlignment="0" applyProtection="0">
      <alignment vertical="top"/>
      <protection locked="0"/>
    </xf>
    <xf numFmtId="0" fontId="103" fillId="16" borderId="0" applyNumberFormat="0" applyBorder="0" applyAlignment="0" applyProtection="0">
      <alignment vertical="center"/>
    </xf>
    <xf numFmtId="0" fontId="103" fillId="16" borderId="0" applyNumberFormat="0" applyBorder="0" applyAlignment="0" applyProtection="0">
      <alignment vertical="center"/>
    </xf>
    <xf numFmtId="0" fontId="107" fillId="16" borderId="0" applyNumberFormat="0" applyBorder="0" applyAlignment="0" applyProtection="0">
      <alignment vertical="center"/>
    </xf>
    <xf numFmtId="0" fontId="103" fillId="16" borderId="0" applyNumberFormat="0" applyBorder="0" applyAlignment="0" applyProtection="0">
      <alignment vertical="center"/>
    </xf>
    <xf numFmtId="0" fontId="107" fillId="16" borderId="0" applyNumberFormat="0" applyBorder="0" applyAlignment="0" applyProtection="0">
      <alignment vertical="center"/>
    </xf>
    <xf numFmtId="0" fontId="107" fillId="16" borderId="0" applyNumberFormat="0" applyBorder="0" applyAlignment="0" applyProtection="0">
      <alignment vertical="center"/>
    </xf>
    <xf numFmtId="0" fontId="101" fillId="42" borderId="0" applyNumberFormat="0" applyBorder="0" applyAlignment="0" applyProtection="0">
      <alignment vertical="center"/>
    </xf>
    <xf numFmtId="0" fontId="107" fillId="16" borderId="0" applyNumberFormat="0" applyBorder="0" applyAlignment="0" applyProtection="0">
      <alignment vertical="center"/>
    </xf>
    <xf numFmtId="0" fontId="103" fillId="16" borderId="0" applyNumberFormat="0" applyBorder="0" applyAlignment="0" applyProtection="0">
      <alignment vertical="center"/>
    </xf>
    <xf numFmtId="0" fontId="103" fillId="16" borderId="0" applyNumberFormat="0" applyBorder="0" applyAlignment="0" applyProtection="0">
      <alignment vertical="center"/>
    </xf>
    <xf numFmtId="0" fontId="103" fillId="16" borderId="0" applyNumberFormat="0" applyBorder="0" applyAlignment="0" applyProtection="0">
      <alignment vertical="center"/>
    </xf>
    <xf numFmtId="0" fontId="107" fillId="16" borderId="0" applyNumberFormat="0" applyBorder="0" applyAlignment="0" applyProtection="0">
      <alignment vertical="center"/>
    </xf>
    <xf numFmtId="0" fontId="103" fillId="16" borderId="0" applyNumberFormat="0" applyBorder="0" applyAlignment="0" applyProtection="0">
      <alignment vertical="center"/>
    </xf>
    <xf numFmtId="0" fontId="103" fillId="16" borderId="0" applyNumberFormat="0" applyBorder="0" applyAlignment="0" applyProtection="0">
      <alignment vertical="center"/>
    </xf>
    <xf numFmtId="0" fontId="103" fillId="16" borderId="0" applyNumberFormat="0" applyBorder="0" applyAlignment="0" applyProtection="0">
      <alignment vertical="center"/>
    </xf>
    <xf numFmtId="0" fontId="103" fillId="16" borderId="0" applyNumberFormat="0" applyBorder="0" applyAlignment="0" applyProtection="0">
      <alignment vertical="center"/>
    </xf>
    <xf numFmtId="0" fontId="103" fillId="16" borderId="0" applyNumberFormat="0" applyBorder="0" applyAlignment="0" applyProtection="0">
      <alignment vertical="center"/>
    </xf>
    <xf numFmtId="0" fontId="107" fillId="16" borderId="0" applyNumberFormat="0" applyBorder="0" applyAlignment="0" applyProtection="0">
      <alignment vertical="center"/>
    </xf>
    <xf numFmtId="0" fontId="107" fillId="16" borderId="0" applyNumberFormat="0" applyBorder="0" applyAlignment="0" applyProtection="0">
      <alignment vertical="center"/>
    </xf>
    <xf numFmtId="0" fontId="103" fillId="16" borderId="0" applyNumberFormat="0" applyBorder="0" applyAlignment="0" applyProtection="0">
      <alignment vertical="center"/>
    </xf>
    <xf numFmtId="0" fontId="107" fillId="16" borderId="0" applyNumberFormat="0" applyBorder="0" applyAlignment="0" applyProtection="0">
      <alignment vertical="center"/>
    </xf>
    <xf numFmtId="0" fontId="124" fillId="0" borderId="68" applyNumberFormat="0" applyFill="0" applyAlignment="0" applyProtection="0">
      <alignment vertical="center"/>
    </xf>
    <xf numFmtId="43" fontId="102" fillId="0" borderId="0" applyFont="0" applyFill="0" applyBorder="0" applyAlignment="0" applyProtection="0">
      <alignment vertical="center"/>
    </xf>
    <xf numFmtId="0" fontId="124" fillId="0" borderId="68" applyNumberFormat="0" applyFill="0" applyAlignment="0" applyProtection="0">
      <alignment vertical="center"/>
    </xf>
    <xf numFmtId="0" fontId="109" fillId="12" borderId="62" applyNumberFormat="0" applyAlignment="0" applyProtection="0">
      <alignment vertical="center"/>
    </xf>
    <xf numFmtId="43" fontId="25" fillId="0" borderId="0" applyProtection="0"/>
    <xf numFmtId="0" fontId="130" fillId="47" borderId="71" applyNumberFormat="0" applyAlignment="0" applyProtection="0">
      <alignment vertical="center"/>
    </xf>
    <xf numFmtId="43" fontId="25" fillId="0" borderId="0" applyProtection="0"/>
    <xf numFmtId="0" fontId="130" fillId="47" borderId="71" applyNumberFormat="0" applyAlignment="0" applyProtection="0">
      <alignment vertical="center"/>
    </xf>
    <xf numFmtId="0" fontId="111"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4" fillId="0" borderId="64" applyNumberFormat="0" applyFill="0" applyAlignment="0" applyProtection="0">
      <alignment vertical="center"/>
    </xf>
    <xf numFmtId="0" fontId="114" fillId="0" borderId="64" applyNumberFormat="0" applyFill="0" applyAlignment="0" applyProtection="0">
      <alignment vertical="center"/>
    </xf>
    <xf numFmtId="0" fontId="114" fillId="0" borderId="64" applyNumberFormat="0" applyFill="0" applyAlignment="0" applyProtection="0">
      <alignment vertical="center"/>
    </xf>
    <xf numFmtId="0" fontId="25" fillId="0" borderId="0"/>
    <xf numFmtId="0" fontId="0" fillId="0" borderId="0" applyFont="0" applyFill="0" applyBorder="0" applyAlignment="0" applyProtection="0"/>
    <xf numFmtId="43" fontId="25" fillId="0" borderId="0" applyFont="0" applyFill="0" applyBorder="0" applyAlignment="0" applyProtection="0">
      <alignment vertical="center"/>
    </xf>
    <xf numFmtId="43" fontId="0" fillId="0" borderId="0" applyFont="0" applyFill="0" applyBorder="0" applyAlignment="0" applyProtection="0"/>
    <xf numFmtId="181" fontId="25" fillId="0" borderId="0" applyFont="0" applyFill="0" applyBorder="0" applyAlignment="0" applyProtection="0">
      <alignment vertical="center"/>
    </xf>
    <xf numFmtId="43" fontId="25" fillId="0" borderId="0" applyProtection="0"/>
    <xf numFmtId="181" fontId="25" fillId="0" borderId="0" applyFont="0" applyFill="0" applyBorder="0" applyAlignment="0" applyProtection="0">
      <alignment vertical="center"/>
    </xf>
    <xf numFmtId="0" fontId="101" fillId="34" borderId="0" applyNumberFormat="0" applyBorder="0" applyAlignment="0" applyProtection="0">
      <alignment vertical="center"/>
    </xf>
    <xf numFmtId="181" fontId="25" fillId="0" borderId="0" applyFont="0" applyFill="0" applyBorder="0" applyAlignment="0" applyProtection="0">
      <alignment vertical="center"/>
    </xf>
    <xf numFmtId="43" fontId="25" fillId="0" borderId="0" applyProtection="0"/>
    <xf numFmtId="43" fontId="25" fillId="0" borderId="0" applyFont="0" applyFill="0" applyBorder="0" applyAlignment="0" applyProtection="0">
      <alignment vertical="center"/>
    </xf>
    <xf numFmtId="43" fontId="25" fillId="0" borderId="0" applyFont="0" applyFill="0" applyBorder="0" applyAlignment="0" applyProtection="0">
      <alignment vertical="center"/>
    </xf>
    <xf numFmtId="43" fontId="25" fillId="0" borderId="0" applyFont="0" applyFill="0" applyBorder="0" applyAlignment="0" applyProtection="0">
      <alignment vertical="center"/>
    </xf>
    <xf numFmtId="43" fontId="25" fillId="0" borderId="0" applyFont="0" applyFill="0" applyBorder="0" applyAlignment="0" applyProtection="0"/>
    <xf numFmtId="181" fontId="25" fillId="0" borderId="0" applyFont="0" applyFill="0" applyBorder="0" applyAlignment="0" applyProtection="0">
      <alignment vertical="center"/>
    </xf>
    <xf numFmtId="43" fontId="128" fillId="0" borderId="0" applyFont="0" applyFill="0" applyBorder="0" applyAlignment="0" applyProtection="0">
      <alignment vertical="center"/>
    </xf>
    <xf numFmtId="181" fontId="25" fillId="0" borderId="0" applyFont="0" applyFill="0" applyBorder="0" applyAlignment="0" applyProtection="0">
      <alignment vertical="center"/>
    </xf>
    <xf numFmtId="181" fontId="25" fillId="0" borderId="0" applyFont="0" applyFill="0" applyBorder="0" applyAlignment="0" applyProtection="0">
      <alignment vertical="center"/>
    </xf>
    <xf numFmtId="43" fontId="25" fillId="0" borderId="0" applyFont="0" applyFill="0" applyBorder="0" applyAlignment="0" applyProtection="0"/>
    <xf numFmtId="0" fontId="101" fillId="44" borderId="0" applyNumberFormat="0" applyBorder="0" applyAlignment="0" applyProtection="0">
      <alignment vertical="center"/>
    </xf>
    <xf numFmtId="41" fontId="25" fillId="0" borderId="0" applyProtection="0"/>
    <xf numFmtId="41" fontId="25" fillId="0" borderId="0" applyProtection="0"/>
    <xf numFmtId="0" fontId="106" fillId="0" borderId="0"/>
    <xf numFmtId="198" fontId="25" fillId="0" borderId="0" applyFont="0" applyFill="0" applyBorder="0" applyAlignment="0" applyProtection="0">
      <alignment vertical="center"/>
    </xf>
    <xf numFmtId="0" fontId="101" fillId="43" borderId="0" applyNumberFormat="0" applyBorder="0" applyAlignment="0" applyProtection="0">
      <alignment vertical="center"/>
    </xf>
    <xf numFmtId="0" fontId="101" fillId="38" borderId="0" applyNumberFormat="0" applyBorder="0" applyAlignment="0" applyProtection="0">
      <alignment vertical="center"/>
    </xf>
    <xf numFmtId="0" fontId="101" fillId="34" borderId="0" applyNumberFormat="0" applyBorder="0" applyAlignment="0" applyProtection="0">
      <alignment vertical="center"/>
    </xf>
    <xf numFmtId="0" fontId="121" fillId="12" borderId="65" applyNumberFormat="0" applyAlignment="0" applyProtection="0">
      <alignment vertical="center"/>
    </xf>
    <xf numFmtId="0" fontId="112" fillId="5" borderId="62" applyNumberFormat="0" applyAlignment="0" applyProtection="0">
      <alignment vertical="center"/>
    </xf>
    <xf numFmtId="0" fontId="112" fillId="5" borderId="62" applyNumberFormat="0" applyAlignment="0" applyProtection="0">
      <alignment vertical="center"/>
    </xf>
    <xf numFmtId="0" fontId="112" fillId="5" borderId="62" applyNumberFormat="0" applyAlignment="0" applyProtection="0">
      <alignment vertical="center"/>
    </xf>
    <xf numFmtId="0" fontId="0" fillId="0" borderId="0"/>
    <xf numFmtId="0" fontId="106" fillId="0" borderId="0"/>
    <xf numFmtId="0" fontId="106" fillId="0" borderId="0"/>
    <xf numFmtId="0" fontId="106" fillId="0" borderId="0"/>
    <xf numFmtId="0" fontId="0" fillId="0" borderId="0"/>
    <xf numFmtId="0" fontId="0" fillId="0" borderId="0"/>
    <xf numFmtId="0" fontId="0" fillId="0" borderId="0"/>
    <xf numFmtId="0" fontId="25" fillId="45" borderId="67" applyNumberFormat="0" applyFont="0" applyAlignment="0" applyProtection="0">
      <alignment vertical="center"/>
    </xf>
    <xf numFmtId="0" fontId="25" fillId="45" borderId="67" applyNumberFormat="0" applyFont="0" applyAlignment="0" applyProtection="0">
      <alignment vertical="center"/>
    </xf>
  </cellStyleXfs>
  <cellXfs count="1815">
    <xf numFmtId="0" fontId="0" fillId="0" borderId="0" xfId="0"/>
    <xf numFmtId="207" fontId="1" fillId="2" borderId="0" xfId="42" applyNumberFormat="1" applyFont="1" applyFill="1" applyAlignment="1">
      <alignment horizontal="center" vertical="center" wrapText="1"/>
    </xf>
    <xf numFmtId="207" fontId="1" fillId="2" borderId="0" xfId="42" applyNumberFormat="1" applyFont="1" applyFill="1" applyAlignment="1">
      <alignment vertical="center" wrapText="1"/>
    </xf>
    <xf numFmtId="0" fontId="2" fillId="2" borderId="0" xfId="42" applyFont="1" applyFill="1" applyAlignment="1">
      <alignment vertical="center" wrapText="1"/>
    </xf>
    <xf numFmtId="0" fontId="1" fillId="2" borderId="0" xfId="42" applyFont="1" applyFill="1" applyAlignment="1">
      <alignment vertical="center" wrapText="1"/>
    </xf>
    <xf numFmtId="0" fontId="1" fillId="2" borderId="0" xfId="42" applyFont="1" applyFill="1" applyAlignment="1">
      <alignment horizontal="center" vertical="center" wrapText="1"/>
    </xf>
    <xf numFmtId="0" fontId="3" fillId="2" borderId="0" xfId="42" applyFont="1" applyFill="1" applyAlignment="1">
      <alignment horizontal="right" vertical="center" wrapText="1"/>
    </xf>
    <xf numFmtId="0" fontId="3" fillId="2" borderId="0" xfId="42" applyFont="1" applyFill="1" applyAlignment="1">
      <alignment horizontal="left" vertical="center" wrapText="1"/>
    </xf>
    <xf numFmtId="207" fontId="4" fillId="3" borderId="1" xfId="42" applyNumberFormat="1" applyFont="1" applyFill="1" applyBorder="1" applyAlignment="1">
      <alignment horizontal="center" vertical="center" wrapText="1"/>
    </xf>
    <xf numFmtId="207" fontId="4" fillId="3" borderId="2" xfId="42" applyNumberFormat="1" applyFont="1" applyFill="1" applyBorder="1" applyAlignment="1">
      <alignment horizontal="center" vertical="center" wrapText="1"/>
    </xf>
    <xf numFmtId="207" fontId="5" fillId="4" borderId="3" xfId="42" applyNumberFormat="1" applyFont="1" applyFill="1" applyBorder="1" applyAlignment="1">
      <alignment horizontal="center" vertical="center" wrapText="1"/>
    </xf>
    <xf numFmtId="207" fontId="5" fillId="4" borderId="4" xfId="42" applyNumberFormat="1" applyFont="1" applyFill="1" applyBorder="1" applyAlignment="1">
      <alignment horizontal="left" vertical="center" wrapText="1"/>
    </xf>
    <xf numFmtId="207" fontId="5" fillId="4" borderId="4" xfId="42" applyNumberFormat="1" applyFont="1" applyFill="1" applyBorder="1" applyAlignment="1">
      <alignment horizontal="center" vertical="center" wrapText="1"/>
    </xf>
    <xf numFmtId="207" fontId="5" fillId="4" borderId="4" xfId="42" applyNumberFormat="1" applyFont="1" applyFill="1" applyBorder="1" applyAlignment="1">
      <alignment horizontal="right" vertical="center" wrapText="1"/>
    </xf>
    <xf numFmtId="207" fontId="6" fillId="5" borderId="3" xfId="42" applyNumberFormat="1" applyFont="1" applyFill="1" applyBorder="1" applyAlignment="1">
      <alignment horizontal="center" vertical="center" wrapText="1"/>
    </xf>
    <xf numFmtId="207" fontId="6" fillId="5" borderId="4" xfId="42" applyNumberFormat="1" applyFont="1" applyFill="1" applyBorder="1" applyAlignment="1">
      <alignment horizontal="left" vertical="center" wrapText="1"/>
    </xf>
    <xf numFmtId="207" fontId="6" fillId="2" borderId="4" xfId="42" applyNumberFormat="1" applyFont="1" applyFill="1" applyBorder="1" applyAlignment="1">
      <alignment horizontal="center" vertical="center" wrapText="1"/>
    </xf>
    <xf numFmtId="215" fontId="6" fillId="2" borderId="4" xfId="42" applyNumberFormat="1" applyFont="1" applyFill="1" applyBorder="1" applyAlignment="1">
      <alignment horizontal="center" vertical="center" wrapText="1"/>
    </xf>
    <xf numFmtId="207" fontId="6" fillId="2" borderId="4" xfId="42" applyNumberFormat="1" applyFont="1" applyFill="1" applyBorder="1" applyAlignment="1">
      <alignment horizontal="right" vertical="center" wrapText="1"/>
    </xf>
    <xf numFmtId="207" fontId="2" fillId="2" borderId="3" xfId="42" applyNumberFormat="1" applyFont="1" applyFill="1" applyBorder="1" applyAlignment="1">
      <alignment horizontal="center" vertical="center" wrapText="1"/>
    </xf>
    <xf numFmtId="207" fontId="2" fillId="2" borderId="4" xfId="42" applyNumberFormat="1" applyFont="1" applyFill="1" applyBorder="1" applyAlignment="1">
      <alignment horizontal="left" vertical="center" wrapText="1"/>
    </xf>
    <xf numFmtId="0" fontId="2" fillId="2" borderId="4" xfId="42" applyFont="1" applyFill="1" applyBorder="1" applyAlignment="1">
      <alignment horizontal="center" vertical="center" wrapText="1"/>
    </xf>
    <xf numFmtId="207" fontId="2" fillId="2" borderId="4" xfId="42" applyNumberFormat="1" applyFont="1" applyFill="1" applyBorder="1" applyAlignment="1">
      <alignment horizontal="center" vertical="center" wrapText="1"/>
    </xf>
    <xf numFmtId="215" fontId="2" fillId="2" borderId="4" xfId="42" applyNumberFormat="1" applyFont="1" applyFill="1" applyBorder="1" applyAlignment="1">
      <alignment horizontal="center" vertical="center" wrapText="1"/>
    </xf>
    <xf numFmtId="207" fontId="2" fillId="6" borderId="4" xfId="42" applyNumberFormat="1" applyFont="1" applyFill="1" applyBorder="1" applyAlignment="1">
      <alignment horizontal="center" vertical="center" wrapText="1"/>
    </xf>
    <xf numFmtId="207" fontId="2" fillId="2" borderId="4" xfId="144" applyNumberFormat="1" applyFont="1" applyFill="1" applyBorder="1" applyAlignment="1">
      <alignment horizontal="right" vertical="center" wrapText="1"/>
    </xf>
    <xf numFmtId="0" fontId="2" fillId="2" borderId="3" xfId="42" applyFont="1" applyFill="1" applyBorder="1" applyAlignment="1">
      <alignment horizontal="center" vertical="center" wrapText="1"/>
    </xf>
    <xf numFmtId="207" fontId="2" fillId="2" borderId="5" xfId="46" applyNumberFormat="1" applyFont="1" applyFill="1" applyBorder="1" applyAlignment="1">
      <alignment horizontal="left" vertical="center" wrapText="1"/>
    </xf>
    <xf numFmtId="207" fontId="2" fillId="2" borderId="4" xfId="42" applyNumberFormat="1" applyFont="1" applyFill="1" applyBorder="1" applyAlignment="1">
      <alignment horizontal="right" vertical="center" wrapText="1"/>
    </xf>
    <xf numFmtId="207" fontId="2" fillId="3" borderId="4" xfId="46" applyNumberFormat="1" applyFont="1" applyFill="1" applyBorder="1" applyAlignment="1">
      <alignment horizontal="left" vertical="center" wrapText="1"/>
    </xf>
    <xf numFmtId="0" fontId="2" fillId="3" borderId="4" xfId="42" applyFont="1" applyFill="1" applyBorder="1" applyAlignment="1">
      <alignment horizontal="center" vertical="center" wrapText="1"/>
    </xf>
    <xf numFmtId="207" fontId="2" fillId="3" borderId="4" xfId="42" applyNumberFormat="1" applyFont="1" applyFill="1" applyBorder="1" applyAlignment="1">
      <alignment horizontal="center" vertical="center" wrapText="1"/>
    </xf>
    <xf numFmtId="207" fontId="2" fillId="3" borderId="4" xfId="42" applyNumberFormat="1" applyFont="1" applyFill="1" applyBorder="1" applyAlignment="1">
      <alignment vertical="center" wrapText="1"/>
    </xf>
    <xf numFmtId="206" fontId="2" fillId="3" borderId="4" xfId="42" applyNumberFormat="1" applyFont="1" applyFill="1" applyBorder="1" applyAlignment="1">
      <alignment horizontal="right" vertical="center" wrapText="1"/>
    </xf>
    <xf numFmtId="207" fontId="2" fillId="2" borderId="4" xfId="46" applyNumberFormat="1" applyFont="1" applyFill="1" applyBorder="1" applyAlignment="1">
      <alignment horizontal="right" vertical="center" wrapText="1"/>
    </xf>
    <xf numFmtId="0" fontId="2" fillId="2" borderId="4" xfId="384" applyFont="1" applyFill="1" applyBorder="1" applyAlignment="1">
      <alignment horizontal="center" vertical="center" wrapText="1"/>
    </xf>
    <xf numFmtId="207" fontId="2" fillId="2" borderId="4" xfId="42" applyNumberFormat="1" applyFont="1" applyFill="1" applyBorder="1" applyAlignment="1">
      <alignment vertical="center" wrapText="1"/>
    </xf>
    <xf numFmtId="206" fontId="2" fillId="2" borderId="4" xfId="42" applyNumberFormat="1" applyFont="1" applyFill="1" applyBorder="1" applyAlignment="1">
      <alignment horizontal="right" vertical="center" wrapText="1"/>
    </xf>
    <xf numFmtId="207" fontId="2" fillId="2" borderId="4" xfId="289" applyNumberFormat="1" applyFont="1" applyFill="1" applyBorder="1" applyAlignment="1">
      <alignment horizontal="center" vertical="center" wrapText="1"/>
    </xf>
    <xf numFmtId="207" fontId="2" fillId="2" borderId="4" xfId="46" applyNumberFormat="1" applyFont="1" applyFill="1" applyBorder="1" applyAlignment="1">
      <alignment horizontal="left" vertical="center" wrapText="1"/>
    </xf>
    <xf numFmtId="207" fontId="2" fillId="2" borderId="4" xfId="0" applyNumberFormat="1" applyFont="1" applyFill="1" applyBorder="1" applyAlignment="1">
      <alignment horizontal="center" vertical="center" wrapText="1"/>
    </xf>
    <xf numFmtId="9" fontId="2" fillId="2" borderId="4" xfId="18" applyFont="1" applyFill="1" applyBorder="1" applyAlignment="1">
      <alignment horizontal="center" vertical="center" wrapText="1"/>
    </xf>
    <xf numFmtId="207" fontId="2" fillId="2" borderId="4" xfId="46" applyNumberFormat="1" applyFont="1" applyFill="1" applyBorder="1" applyAlignment="1">
      <alignment horizontal="center" vertical="center" wrapText="1"/>
    </xf>
    <xf numFmtId="207" fontId="2" fillId="2" borderId="5" xfId="42" applyNumberFormat="1" applyFont="1" applyFill="1" applyBorder="1" applyAlignment="1">
      <alignment horizontal="right" vertical="center" wrapText="1"/>
    </xf>
    <xf numFmtId="207" fontId="1" fillId="2" borderId="4" xfId="42" applyNumberFormat="1" applyFont="1" applyFill="1" applyBorder="1" applyAlignment="1">
      <alignment horizontal="center" vertical="center" wrapText="1"/>
    </xf>
    <xf numFmtId="0" fontId="2" fillId="2" borderId="4" xfId="42" applyFont="1" applyFill="1" applyBorder="1" applyAlignment="1">
      <alignment horizontal="left" vertical="center" wrapText="1"/>
    </xf>
    <xf numFmtId="206" fontId="2" fillId="2" borderId="4" xfId="42" applyNumberFormat="1" applyFont="1" applyFill="1" applyBorder="1" applyAlignment="1">
      <alignment horizontal="center" vertical="center" wrapText="1"/>
    </xf>
    <xf numFmtId="200" fontId="2" fillId="2" borderId="4" xfId="42" applyNumberFormat="1" applyFont="1" applyFill="1" applyBorder="1" applyAlignment="1">
      <alignment horizontal="center" vertical="center" wrapText="1"/>
    </xf>
    <xf numFmtId="215" fontId="5" fillId="4" borderId="4" xfId="42" applyNumberFormat="1" applyFont="1" applyFill="1" applyBorder="1" applyAlignment="1">
      <alignment horizontal="center" vertical="center" wrapText="1"/>
    </xf>
    <xf numFmtId="0" fontId="2" fillId="2" borderId="4" xfId="42" applyFont="1" applyFill="1" applyBorder="1" applyAlignment="1">
      <alignment horizontal="center"/>
    </xf>
    <xf numFmtId="0" fontId="7" fillId="2" borderId="4" xfId="42" applyFont="1" applyFill="1" applyBorder="1" applyAlignment="1">
      <alignment horizontal="left" vertical="center" wrapText="1"/>
    </xf>
    <xf numFmtId="207" fontId="6" fillId="3" borderId="1" xfId="0" applyNumberFormat="1" applyFont="1" applyFill="1" applyBorder="1" applyAlignment="1">
      <alignment horizontal="center" vertical="center" wrapText="1"/>
    </xf>
    <xf numFmtId="207" fontId="6" fillId="3" borderId="2" xfId="0" applyNumberFormat="1" applyFont="1" applyFill="1" applyBorder="1" applyAlignment="1">
      <alignment horizontal="center" vertical="center" wrapText="1"/>
    </xf>
    <xf numFmtId="207" fontId="6" fillId="3" borderId="6" xfId="0" applyNumberFormat="1" applyFont="1" applyFill="1" applyBorder="1" applyAlignment="1">
      <alignment horizontal="center" vertical="center" wrapText="1"/>
    </xf>
    <xf numFmtId="207" fontId="4" fillId="3" borderId="6" xfId="42" applyNumberFormat="1" applyFont="1" applyFill="1" applyBorder="1" applyAlignment="1">
      <alignment horizontal="center" vertical="center" wrapText="1"/>
    </xf>
    <xf numFmtId="207" fontId="5" fillId="4" borderId="5" xfId="42" applyNumberFormat="1" applyFont="1" applyFill="1" applyBorder="1" applyAlignment="1">
      <alignment horizontal="right" vertical="center" wrapText="1"/>
    </xf>
    <xf numFmtId="207" fontId="8" fillId="4" borderId="7" xfId="42" applyNumberFormat="1" applyFont="1" applyFill="1" applyBorder="1" applyAlignment="1">
      <alignment vertical="center" wrapText="1"/>
    </xf>
    <xf numFmtId="207" fontId="6" fillId="2" borderId="5" xfId="42" applyNumberFormat="1" applyFont="1" applyFill="1" applyBorder="1" applyAlignment="1">
      <alignment horizontal="right" vertical="center" wrapText="1"/>
    </xf>
    <xf numFmtId="207" fontId="2" fillId="2" borderId="7" xfId="42" applyNumberFormat="1" applyFont="1" applyFill="1" applyBorder="1" applyAlignment="1">
      <alignment vertical="center" wrapText="1"/>
    </xf>
    <xf numFmtId="207" fontId="2" fillId="2" borderId="5" xfId="144" applyNumberFormat="1" applyFont="1" applyFill="1" applyBorder="1" applyAlignment="1">
      <alignment horizontal="right" vertical="center" wrapText="1"/>
    </xf>
    <xf numFmtId="215" fontId="1" fillId="2" borderId="7" xfId="42" applyNumberFormat="1" applyFont="1" applyFill="1" applyBorder="1" applyAlignment="1">
      <alignment vertical="center" wrapText="1"/>
    </xf>
    <xf numFmtId="0" fontId="2" fillId="2" borderId="7" xfId="42" applyFont="1" applyFill="1" applyBorder="1" applyAlignment="1">
      <alignment vertical="center" wrapText="1"/>
    </xf>
    <xf numFmtId="207" fontId="8" fillId="2" borderId="7" xfId="42" applyNumberFormat="1" applyFont="1" applyFill="1" applyBorder="1" applyAlignment="1">
      <alignment vertical="center" wrapText="1"/>
    </xf>
    <xf numFmtId="207" fontId="9" fillId="4" borderId="7" xfId="42" applyNumberFormat="1" applyFont="1" applyFill="1" applyBorder="1" applyAlignment="1">
      <alignment vertical="center" wrapText="1"/>
    </xf>
    <xf numFmtId="0" fontId="2" fillId="2" borderId="4" xfId="453" applyFont="1" applyFill="1" applyBorder="1" applyAlignment="1">
      <alignment horizontal="left" vertical="center" wrapText="1"/>
    </xf>
    <xf numFmtId="0" fontId="2" fillId="2" borderId="4" xfId="453" applyFont="1" applyFill="1" applyBorder="1" applyAlignment="1">
      <alignment horizontal="center" vertical="center" wrapText="1"/>
    </xf>
    <xf numFmtId="207" fontId="10" fillId="2" borderId="4" xfId="42" applyNumberFormat="1" applyFont="1" applyFill="1" applyBorder="1" applyAlignment="1">
      <alignment horizontal="center" vertical="center" wrapText="1"/>
    </xf>
    <xf numFmtId="215" fontId="2" fillId="7" borderId="4" xfId="42" applyNumberFormat="1" applyFont="1" applyFill="1" applyBorder="1" applyAlignment="1">
      <alignment horizontal="center" vertical="center" wrapText="1"/>
    </xf>
    <xf numFmtId="207" fontId="2" fillId="2" borderId="8" xfId="42" applyNumberFormat="1" applyFont="1" applyFill="1" applyBorder="1" applyAlignment="1">
      <alignment horizontal="center" vertical="center" wrapText="1"/>
    </xf>
    <xf numFmtId="207" fontId="2" fillId="2" borderId="9" xfId="42" applyNumberFormat="1" applyFont="1" applyFill="1" applyBorder="1" applyAlignment="1">
      <alignment horizontal="left" vertical="center" wrapText="1"/>
    </xf>
    <xf numFmtId="207" fontId="10" fillId="2" borderId="9" xfId="42" applyNumberFormat="1" applyFont="1" applyFill="1" applyBorder="1" applyAlignment="1">
      <alignment horizontal="center" vertical="center" wrapText="1"/>
    </xf>
    <xf numFmtId="207" fontId="2" fillId="2" borderId="9" xfId="42" applyNumberFormat="1" applyFont="1" applyFill="1" applyBorder="1" applyAlignment="1">
      <alignment horizontal="center" vertical="center" wrapText="1"/>
    </xf>
    <xf numFmtId="215" fontId="2" fillId="2" borderId="9" xfId="42" applyNumberFormat="1" applyFont="1" applyFill="1" applyBorder="1" applyAlignment="1">
      <alignment horizontal="center" vertical="center" wrapText="1"/>
    </xf>
    <xf numFmtId="207" fontId="2" fillId="2" borderId="9" xfId="42" applyNumberFormat="1" applyFont="1" applyFill="1" applyBorder="1" applyAlignment="1">
      <alignment horizontal="right" vertical="center" wrapText="1"/>
    </xf>
    <xf numFmtId="0" fontId="2" fillId="2" borderId="7" xfId="384" applyFont="1" applyFill="1" applyBorder="1" applyAlignment="1">
      <alignment vertical="center" wrapText="1"/>
    </xf>
    <xf numFmtId="207" fontId="2" fillId="2" borderId="10" xfId="42" applyNumberFormat="1" applyFont="1" applyFill="1" applyBorder="1" applyAlignment="1">
      <alignment horizontal="right" vertical="center" wrapText="1"/>
    </xf>
    <xf numFmtId="207" fontId="2" fillId="2" borderId="11" xfId="42" applyNumberFormat="1" applyFont="1" applyFill="1" applyBorder="1" applyAlignment="1">
      <alignment vertical="center" wrapText="1"/>
    </xf>
    <xf numFmtId="207" fontId="2" fillId="2" borderId="5" xfId="46" applyNumberFormat="1" applyFont="1" applyFill="1" applyBorder="1" applyAlignment="1">
      <alignment horizontal="right" vertical="center" wrapText="1"/>
    </xf>
    <xf numFmtId="207" fontId="2" fillId="7" borderId="4" xfId="42" applyNumberFormat="1" applyFont="1" applyFill="1" applyBorder="1" applyAlignment="1">
      <alignment horizontal="center" vertical="center" wrapText="1"/>
    </xf>
    <xf numFmtId="207" fontId="2" fillId="2" borderId="12" xfId="0" applyNumberFormat="1" applyFont="1" applyFill="1" applyBorder="1" applyAlignment="1">
      <alignment horizontal="center" vertical="center" wrapText="1"/>
    </xf>
    <xf numFmtId="0" fontId="2" fillId="2" borderId="4" xfId="289" applyFont="1" applyFill="1" applyBorder="1" applyAlignment="1">
      <alignment horizontal="center" vertical="center" wrapText="1"/>
    </xf>
    <xf numFmtId="207" fontId="6" fillId="2" borderId="12" xfId="0" applyNumberFormat="1" applyFont="1" applyFill="1" applyBorder="1" applyAlignment="1">
      <alignment horizontal="center" vertical="center" wrapText="1"/>
    </xf>
    <xf numFmtId="206" fontId="2" fillId="0" borderId="12" xfId="0" applyNumberFormat="1" applyFont="1" applyFill="1" applyBorder="1" applyAlignment="1">
      <alignment horizontal="center" vertical="center" wrapText="1"/>
    </xf>
    <xf numFmtId="206" fontId="2" fillId="2" borderId="12" xfId="0" applyNumberFormat="1" applyFont="1" applyFill="1" applyBorder="1" applyAlignment="1">
      <alignment horizontal="center" vertical="center" wrapText="1"/>
    </xf>
    <xf numFmtId="187" fontId="2" fillId="2" borderId="4" xfId="384" applyNumberFormat="1" applyFont="1" applyFill="1" applyBorder="1" applyAlignment="1">
      <alignment horizontal="center" vertical="center" wrapText="1"/>
    </xf>
    <xf numFmtId="207" fontId="2" fillId="7" borderId="12" xfId="0" applyNumberFormat="1" applyFont="1" applyFill="1" applyBorder="1" applyAlignment="1">
      <alignment horizontal="center" vertical="center" wrapText="1"/>
    </xf>
    <xf numFmtId="207" fontId="2" fillId="0" borderId="12" xfId="0" applyNumberFormat="1" applyFont="1" applyFill="1" applyBorder="1" applyAlignment="1">
      <alignment horizontal="center" vertical="center" wrapText="1"/>
    </xf>
    <xf numFmtId="207" fontId="5" fillId="4" borderId="4" xfId="42" applyNumberFormat="1" applyFont="1" applyFill="1" applyBorder="1" applyAlignment="1">
      <alignment vertical="center" wrapText="1"/>
    </xf>
    <xf numFmtId="207" fontId="6" fillId="2" borderId="4" xfId="42" applyNumberFormat="1" applyFont="1" applyFill="1" applyBorder="1" applyAlignment="1">
      <alignment vertical="center" wrapText="1"/>
    </xf>
    <xf numFmtId="207" fontId="2" fillId="2" borderId="4" xfId="289" applyNumberFormat="1" applyFont="1" applyFill="1" applyBorder="1" applyAlignment="1">
      <alignment horizontal="right" vertical="center" wrapText="1"/>
    </xf>
    <xf numFmtId="207" fontId="2" fillId="2" borderId="4" xfId="289" applyNumberFormat="1" applyFont="1" applyFill="1" applyBorder="1" applyAlignment="1">
      <alignment vertical="center" wrapText="1"/>
    </xf>
    <xf numFmtId="214" fontId="2" fillId="2" borderId="4" xfId="289" applyNumberFormat="1" applyFont="1" applyFill="1" applyBorder="1" applyAlignment="1">
      <alignment horizontal="right" vertical="center" wrapText="1"/>
    </xf>
    <xf numFmtId="0" fontId="2" fillId="2" borderId="12" xfId="289" applyFont="1" applyFill="1" applyBorder="1" applyAlignment="1">
      <alignment horizontal="right" vertical="center" wrapText="1"/>
    </xf>
    <xf numFmtId="187" fontId="2" fillId="2" borderId="4" xfId="384" applyNumberFormat="1" applyFont="1" applyFill="1" applyBorder="1" applyAlignment="1">
      <alignment vertical="center" wrapText="1"/>
    </xf>
    <xf numFmtId="207" fontId="2" fillId="2" borderId="4" xfId="0" applyNumberFormat="1" applyFont="1" applyFill="1" applyBorder="1" applyAlignment="1">
      <alignment horizontal="right" vertical="center" wrapText="1"/>
    </xf>
    <xf numFmtId="0" fontId="2" fillId="2" borderId="4" xfId="0" applyFont="1" applyFill="1" applyBorder="1" applyAlignment="1">
      <alignment horizontal="center" vertical="center" wrapText="1"/>
    </xf>
    <xf numFmtId="9" fontId="2" fillId="2" borderId="4" xfId="18" applyFont="1" applyFill="1" applyBorder="1" applyAlignment="1">
      <alignment vertical="center" wrapText="1"/>
    </xf>
    <xf numFmtId="215" fontId="2" fillId="2" borderId="4" xfId="42" applyNumberFormat="1" applyFont="1" applyFill="1" applyBorder="1" applyAlignment="1">
      <alignment vertical="center" wrapText="1"/>
    </xf>
    <xf numFmtId="0" fontId="2" fillId="2" borderId="7" xfId="0" applyFont="1" applyFill="1" applyBorder="1" applyAlignment="1">
      <alignment vertical="center" wrapText="1"/>
    </xf>
    <xf numFmtId="207" fontId="2" fillId="2" borderId="9" xfId="42" applyNumberFormat="1" applyFont="1" applyFill="1" applyBorder="1" applyAlignment="1">
      <alignment vertical="center" wrapText="1"/>
    </xf>
    <xf numFmtId="187" fontId="6" fillId="3" borderId="2" xfId="0" applyNumberFormat="1" applyFont="1" applyFill="1" applyBorder="1" applyAlignment="1">
      <alignment horizontal="center" vertical="center" wrapText="1"/>
    </xf>
    <xf numFmtId="0" fontId="6" fillId="3" borderId="2" xfId="0" applyFont="1" applyFill="1" applyBorder="1" applyAlignment="1">
      <alignment horizontal="center" vertical="center" wrapText="1"/>
    </xf>
    <xf numFmtId="0" fontId="5" fillId="4" borderId="3" xfId="453" applyFont="1" applyFill="1" applyBorder="1" applyAlignment="1">
      <alignment horizontal="center" vertical="center" wrapText="1"/>
    </xf>
    <xf numFmtId="0" fontId="5" fillId="4" borderId="4" xfId="453" applyFont="1" applyFill="1" applyBorder="1" applyAlignment="1">
      <alignment horizontal="left" vertical="center" wrapText="1"/>
    </xf>
    <xf numFmtId="207" fontId="6" fillId="5" borderId="4" xfId="42" applyNumberFormat="1" applyFont="1" applyFill="1" applyBorder="1" applyAlignment="1">
      <alignment horizontal="center" vertical="center" wrapText="1"/>
    </xf>
    <xf numFmtId="215" fontId="6" fillId="5" borderId="4" xfId="42" applyNumberFormat="1" applyFont="1" applyFill="1" applyBorder="1" applyAlignment="1">
      <alignment horizontal="center" vertical="center" wrapText="1"/>
    </xf>
    <xf numFmtId="207" fontId="6" fillId="5" borderId="4" xfId="42" applyNumberFormat="1" applyFont="1" applyFill="1" applyBorder="1" applyAlignment="1">
      <alignment horizontal="right" vertical="center" wrapText="1"/>
    </xf>
    <xf numFmtId="0" fontId="2" fillId="2" borderId="4" xfId="453" applyFont="1" applyFill="1" applyBorder="1" applyAlignment="1">
      <alignment horizontal="right" vertical="center" wrapText="1"/>
    </xf>
    <xf numFmtId="194" fontId="2" fillId="2" borderId="4" xfId="453" applyNumberFormat="1" applyFont="1" applyFill="1" applyBorder="1" applyAlignment="1">
      <alignment horizontal="center" vertical="center" wrapText="1"/>
    </xf>
    <xf numFmtId="215" fontId="2" fillId="2" borderId="4" xfId="0" applyNumberFormat="1" applyFont="1" applyFill="1" applyBorder="1" applyAlignment="1">
      <alignment horizontal="center" vertical="center" wrapText="1"/>
    </xf>
    <xf numFmtId="200" fontId="2" fillId="2" borderId="4" xfId="0" applyNumberFormat="1" applyFont="1" applyFill="1" applyBorder="1" applyAlignment="1">
      <alignment horizontal="center" vertical="center" wrapText="1"/>
    </xf>
    <xf numFmtId="215" fontId="2" fillId="2" borderId="12" xfId="0" applyNumberFormat="1" applyFont="1" applyFill="1" applyBorder="1" applyAlignment="1">
      <alignment horizontal="center" vertical="center" wrapText="1"/>
    </xf>
    <xf numFmtId="206" fontId="11" fillId="2" borderId="4" xfId="453" applyNumberFormat="1" applyFont="1" applyFill="1" applyBorder="1" applyAlignment="1">
      <alignment horizontal="center" vertical="center" wrapText="1"/>
    </xf>
    <xf numFmtId="0" fontId="11" fillId="2" borderId="4" xfId="453" applyFont="1" applyFill="1" applyBorder="1" applyAlignment="1">
      <alignment horizontal="center" vertical="center" wrapText="1"/>
    </xf>
    <xf numFmtId="203" fontId="2" fillId="2" borderId="4" xfId="453" applyNumberFormat="1" applyFont="1" applyFill="1" applyBorder="1" applyAlignment="1">
      <alignment horizontal="center" vertical="center" wrapText="1"/>
    </xf>
    <xf numFmtId="194" fontId="2" fillId="2" borderId="12" xfId="0" applyNumberFormat="1" applyFont="1" applyFill="1" applyBorder="1" applyAlignment="1">
      <alignment horizontal="center" vertical="center" wrapText="1"/>
    </xf>
    <xf numFmtId="206" fontId="2" fillId="2" borderId="4" xfId="453" applyNumberFormat="1" applyFont="1" applyFill="1" applyBorder="1" applyAlignment="1">
      <alignment horizontal="right" vertical="center" wrapText="1"/>
    </xf>
    <xf numFmtId="0" fontId="2" fillId="2" borderId="4" xfId="42" applyFont="1" applyFill="1" applyBorder="1" applyAlignment="1">
      <alignment horizontal="right" vertical="center" wrapText="1"/>
    </xf>
    <xf numFmtId="215" fontId="2" fillId="2" borderId="4" xfId="384" applyNumberFormat="1" applyFont="1" applyFill="1" applyBorder="1" applyAlignment="1">
      <alignment horizontal="center" vertical="center" wrapText="1"/>
    </xf>
    <xf numFmtId="215" fontId="6" fillId="5" borderId="12" xfId="0" applyNumberFormat="1" applyFont="1" applyFill="1" applyBorder="1" applyAlignment="1">
      <alignment horizontal="center" vertical="center" wrapText="1"/>
    </xf>
    <xf numFmtId="0" fontId="6" fillId="5" borderId="3" xfId="453" applyFont="1" applyFill="1" applyBorder="1" applyAlignment="1">
      <alignment horizontal="center" vertical="center" wrapText="1"/>
    </xf>
    <xf numFmtId="0" fontId="6" fillId="5" borderId="4" xfId="453" applyFont="1" applyFill="1" applyBorder="1" applyAlignment="1">
      <alignment horizontal="left" vertical="center" wrapText="1"/>
    </xf>
    <xf numFmtId="207" fontId="5" fillId="5" borderId="4" xfId="42" applyNumberFormat="1" applyFont="1" applyFill="1" applyBorder="1" applyAlignment="1">
      <alignment horizontal="center" vertical="center" wrapText="1"/>
    </xf>
    <xf numFmtId="215" fontId="5" fillId="5" borderId="4" xfId="42" applyNumberFormat="1" applyFont="1" applyFill="1" applyBorder="1" applyAlignment="1">
      <alignment horizontal="center" vertical="center" wrapText="1"/>
    </xf>
    <xf numFmtId="207" fontId="5" fillId="5" borderId="4" xfId="42" applyNumberFormat="1" applyFont="1" applyFill="1" applyBorder="1" applyAlignment="1">
      <alignment horizontal="right" vertical="center" wrapText="1"/>
    </xf>
    <xf numFmtId="0" fontId="6" fillId="0" borderId="3" xfId="453" applyFont="1" applyFill="1" applyBorder="1" applyAlignment="1">
      <alignment horizontal="right" vertical="center" wrapText="1"/>
    </xf>
    <xf numFmtId="0" fontId="2" fillId="0" borderId="4" xfId="453" applyFont="1" applyFill="1" applyBorder="1" applyAlignment="1">
      <alignment horizontal="left" vertical="center" wrapText="1"/>
    </xf>
    <xf numFmtId="207" fontId="5" fillId="0" borderId="4" xfId="42" applyNumberFormat="1" applyFont="1" applyFill="1" applyBorder="1" applyAlignment="1">
      <alignment horizontal="center" vertical="center" wrapText="1"/>
    </xf>
    <xf numFmtId="215" fontId="5" fillId="0" borderId="4" xfId="42" applyNumberFormat="1" applyFont="1" applyFill="1" applyBorder="1" applyAlignment="1">
      <alignment horizontal="center" vertical="center" wrapText="1"/>
    </xf>
    <xf numFmtId="207" fontId="5" fillId="0" borderId="4" xfId="42" applyNumberFormat="1" applyFont="1" applyFill="1" applyBorder="1" applyAlignment="1">
      <alignment horizontal="right" vertical="center" wrapText="1"/>
    </xf>
    <xf numFmtId="207" fontId="6" fillId="5" borderId="5" xfId="42" applyNumberFormat="1" applyFont="1" applyFill="1" applyBorder="1" applyAlignment="1">
      <alignment horizontal="right" vertical="center" wrapText="1"/>
    </xf>
    <xf numFmtId="207" fontId="2" fillId="5" borderId="7" xfId="42" applyNumberFormat="1" applyFont="1" applyFill="1" applyBorder="1" applyAlignment="1">
      <alignment vertical="center" wrapText="1"/>
    </xf>
    <xf numFmtId="215" fontId="1" fillId="5" borderId="7" xfId="42" applyNumberFormat="1" applyFont="1" applyFill="1" applyBorder="1" applyAlignment="1">
      <alignment vertical="center" wrapText="1"/>
    </xf>
    <xf numFmtId="207" fontId="5" fillId="5" borderId="5" xfId="42" applyNumberFormat="1" applyFont="1" applyFill="1" applyBorder="1" applyAlignment="1">
      <alignment horizontal="right" vertical="center" wrapText="1"/>
    </xf>
    <xf numFmtId="207" fontId="9" fillId="5" borderId="7" xfId="42" applyNumberFormat="1" applyFont="1" applyFill="1" applyBorder="1" applyAlignment="1">
      <alignment vertical="center" wrapText="1"/>
    </xf>
    <xf numFmtId="207" fontId="5" fillId="0" borderId="5" xfId="42" applyNumberFormat="1" applyFont="1" applyFill="1" applyBorder="1" applyAlignment="1">
      <alignment horizontal="right" vertical="center" wrapText="1"/>
    </xf>
    <xf numFmtId="207" fontId="9" fillId="0" borderId="7" xfId="42" applyNumberFormat="1" applyFont="1" applyFill="1" applyBorder="1" applyAlignment="1">
      <alignment vertical="center" wrapText="1"/>
    </xf>
    <xf numFmtId="207" fontId="6" fillId="5" borderId="12" xfId="0" applyNumberFormat="1" applyFont="1" applyFill="1" applyBorder="1" applyAlignment="1">
      <alignment horizontal="center" vertical="center" wrapText="1"/>
    </xf>
    <xf numFmtId="0" fontId="2" fillId="0" borderId="4" xfId="42" applyFont="1" applyFill="1" applyBorder="1" applyAlignment="1">
      <alignment horizontal="center" vertical="center" wrapText="1"/>
    </xf>
    <xf numFmtId="215" fontId="2" fillId="0" borderId="4" xfId="42" applyNumberFormat="1" applyFont="1" applyFill="1" applyBorder="1" applyAlignment="1">
      <alignment horizontal="center" vertical="center" wrapText="1"/>
    </xf>
    <xf numFmtId="194" fontId="2" fillId="0" borderId="12" xfId="0" applyNumberFormat="1" applyFont="1" applyFill="1" applyBorder="1" applyAlignment="1">
      <alignment horizontal="center" vertical="center" wrapText="1"/>
    </xf>
    <xf numFmtId="207" fontId="2" fillId="0" borderId="4" xfId="42" applyNumberFormat="1" applyFont="1" applyFill="1" applyBorder="1" applyAlignment="1">
      <alignment horizontal="right" vertical="center" wrapText="1"/>
    </xf>
    <xf numFmtId="207" fontId="2" fillId="0" borderId="4" xfId="42" applyNumberFormat="1" applyFont="1" applyFill="1" applyBorder="1" applyAlignment="1">
      <alignment horizontal="center" vertical="center" wrapText="1"/>
    </xf>
    <xf numFmtId="200" fontId="2" fillId="0" borderId="4" xfId="42" applyNumberFormat="1" applyFont="1" applyFill="1" applyBorder="1" applyAlignment="1">
      <alignment horizontal="center" vertical="center" wrapText="1"/>
    </xf>
    <xf numFmtId="207" fontId="2" fillId="0" borderId="4" xfId="0" applyNumberFormat="1" applyFont="1" applyFill="1" applyBorder="1" applyAlignment="1">
      <alignment horizontal="center" vertical="center" wrapText="1"/>
    </xf>
    <xf numFmtId="207" fontId="2" fillId="5" borderId="4" xfId="42" applyNumberFormat="1" applyFont="1" applyFill="1" applyBorder="1" applyAlignment="1">
      <alignment horizontal="center" vertical="center" wrapText="1"/>
    </xf>
    <xf numFmtId="215" fontId="2" fillId="5" borderId="4" xfId="42" applyNumberFormat="1" applyFont="1" applyFill="1" applyBorder="1" applyAlignment="1">
      <alignment horizontal="center" vertical="center" wrapText="1"/>
    </xf>
    <xf numFmtId="207" fontId="2" fillId="5" borderId="4" xfId="0" applyNumberFormat="1" applyFont="1" applyFill="1" applyBorder="1" applyAlignment="1">
      <alignment horizontal="center" vertical="center" wrapText="1"/>
    </xf>
    <xf numFmtId="0" fontId="1" fillId="4" borderId="4" xfId="42" applyFont="1" applyFill="1" applyBorder="1" applyAlignment="1">
      <alignment horizontal="center" vertical="center" wrapText="1"/>
    </xf>
    <xf numFmtId="207" fontId="1" fillId="4" borderId="4" xfId="42" applyNumberFormat="1" applyFont="1" applyFill="1" applyBorder="1" applyAlignment="1">
      <alignment horizontal="center" vertical="center" wrapText="1"/>
    </xf>
    <xf numFmtId="207" fontId="5" fillId="4" borderId="4" xfId="453" applyNumberFormat="1" applyFont="1" applyFill="1" applyBorder="1" applyAlignment="1">
      <alignment horizontal="right" vertical="center" wrapText="1"/>
    </xf>
    <xf numFmtId="0" fontId="2" fillId="5" borderId="3" xfId="453" applyFont="1" applyFill="1" applyBorder="1" applyAlignment="1">
      <alignment horizontal="center" vertical="center" wrapText="1"/>
    </xf>
    <xf numFmtId="0" fontId="2" fillId="5" borderId="4" xfId="453" applyFont="1" applyFill="1" applyBorder="1" applyAlignment="1">
      <alignment horizontal="left" vertical="center" wrapText="1"/>
    </xf>
    <xf numFmtId="0" fontId="1" fillId="5" borderId="4" xfId="42" applyFont="1" applyFill="1" applyBorder="1" applyAlignment="1">
      <alignment horizontal="center" vertical="center" wrapText="1"/>
    </xf>
    <xf numFmtId="10" fontId="6" fillId="5" borderId="4" xfId="453" applyNumberFormat="1" applyFont="1" applyFill="1" applyBorder="1" applyAlignment="1">
      <alignment horizontal="center" vertical="center" wrapText="1"/>
    </xf>
    <xf numFmtId="194" fontId="6" fillId="5" borderId="4" xfId="453" applyNumberFormat="1" applyFont="1" applyFill="1" applyBorder="1" applyAlignment="1">
      <alignment horizontal="center" vertical="center" wrapText="1"/>
    </xf>
    <xf numFmtId="207" fontId="6" fillId="5" borderId="4" xfId="453" applyNumberFormat="1" applyFont="1" applyFill="1" applyBorder="1" applyAlignment="1">
      <alignment horizontal="right" vertical="center" wrapText="1"/>
    </xf>
    <xf numFmtId="207" fontId="1" fillId="5" borderId="4" xfId="42" applyNumberFormat="1" applyFont="1" applyFill="1" applyBorder="1" applyAlignment="1">
      <alignment horizontal="center" vertical="center" wrapText="1"/>
    </xf>
    <xf numFmtId="207" fontId="2" fillId="0" borderId="5" xfId="42" applyNumberFormat="1" applyFont="1" applyFill="1" applyBorder="1" applyAlignment="1">
      <alignment horizontal="right" vertical="center" wrapText="1"/>
    </xf>
    <xf numFmtId="207" fontId="2" fillId="0" borderId="7" xfId="42" applyNumberFormat="1" applyFont="1" applyFill="1" applyBorder="1" applyAlignment="1">
      <alignment vertical="center" wrapText="1"/>
    </xf>
    <xf numFmtId="207" fontId="8" fillId="0" borderId="4" xfId="42" applyNumberFormat="1" applyFont="1" applyFill="1" applyBorder="1" applyAlignment="1">
      <alignment vertical="center" wrapText="1"/>
    </xf>
    <xf numFmtId="207" fontId="2" fillId="0" borderId="4" xfId="42" applyNumberFormat="1" applyFont="1" applyFill="1" applyBorder="1" applyAlignment="1">
      <alignment vertical="center" wrapText="1"/>
    </xf>
    <xf numFmtId="207" fontId="2" fillId="5" borderId="4" xfId="42" applyNumberFormat="1" applyFont="1" applyFill="1" applyBorder="1" applyAlignment="1">
      <alignment horizontal="right" vertical="center" wrapText="1"/>
    </xf>
    <xf numFmtId="207" fontId="2" fillId="5" borderId="4" xfId="42" applyNumberFormat="1" applyFont="1" applyFill="1" applyBorder="1" applyAlignment="1">
      <alignment vertical="center" wrapText="1"/>
    </xf>
    <xf numFmtId="0" fontId="1" fillId="4" borderId="4" xfId="42" applyFont="1" applyFill="1" applyBorder="1" applyAlignment="1">
      <alignment vertical="center" wrapText="1"/>
    </xf>
    <xf numFmtId="0" fontId="1" fillId="5" borderId="4" xfId="42" applyFont="1" applyFill="1" applyBorder="1" applyAlignment="1">
      <alignment vertical="center" wrapText="1"/>
    </xf>
    <xf numFmtId="0" fontId="2" fillId="2" borderId="0" xfId="0" applyFont="1" applyFill="1" applyAlignment="1">
      <alignment horizontal="center" vertical="center" wrapText="1"/>
    </xf>
    <xf numFmtId="0" fontId="8" fillId="2" borderId="0" xfId="0" applyFont="1" applyFill="1" applyAlignment="1">
      <alignment vertical="center" wrapText="1"/>
    </xf>
    <xf numFmtId="0" fontId="2" fillId="2" borderId="0" xfId="0" applyFont="1" applyFill="1" applyAlignment="1">
      <alignment vertical="center" wrapText="1"/>
    </xf>
    <xf numFmtId="207" fontId="2" fillId="2" borderId="0" xfId="0" applyNumberFormat="1" applyFont="1" applyFill="1" applyAlignment="1">
      <alignment horizontal="center" vertical="center" wrapText="1"/>
    </xf>
    <xf numFmtId="0" fontId="12" fillId="2" borderId="0" xfId="0" applyFont="1" applyFill="1" applyAlignment="1">
      <alignment horizontal="center" vertical="center" wrapText="1"/>
    </xf>
    <xf numFmtId="0" fontId="13" fillId="2" borderId="0" xfId="0" applyFont="1" applyFill="1" applyAlignment="1">
      <alignment horizontal="center" vertical="center" wrapText="1"/>
    </xf>
    <xf numFmtId="0" fontId="14" fillId="2" borderId="0" xfId="0" applyFont="1" applyFill="1" applyAlignment="1">
      <alignment horizontal="center" vertical="center" wrapText="1"/>
    </xf>
    <xf numFmtId="0" fontId="14" fillId="2" borderId="0" xfId="0" applyFont="1" applyFill="1" applyBorder="1" applyAlignment="1">
      <alignment horizontal="left" vertical="center" wrapText="1"/>
    </xf>
    <xf numFmtId="0" fontId="14" fillId="2" borderId="0" xfId="0" applyFont="1" applyFill="1" applyAlignment="1">
      <alignment horizontal="left" vertical="center" wrapText="1"/>
    </xf>
    <xf numFmtId="0" fontId="14" fillId="2" borderId="0" xfId="0" applyFont="1" applyFill="1" applyBorder="1" applyAlignment="1">
      <alignment vertical="center" wrapText="1"/>
    </xf>
    <xf numFmtId="0" fontId="6" fillId="5" borderId="1" xfId="0" applyFont="1" applyFill="1" applyBorder="1" applyAlignment="1">
      <alignment horizontal="center" vertical="center" wrapText="1"/>
    </xf>
    <xf numFmtId="0" fontId="6" fillId="5" borderId="13" xfId="0" applyFont="1" applyFill="1" applyBorder="1" applyAlignment="1">
      <alignment horizontal="left" vertical="center" wrapText="1"/>
    </xf>
    <xf numFmtId="0" fontId="6" fillId="2" borderId="14" xfId="0" applyFont="1" applyFill="1" applyBorder="1" applyAlignment="1">
      <alignment horizontal="center" vertical="center" wrapText="1"/>
    </xf>
    <xf numFmtId="0" fontId="6" fillId="2" borderId="14" xfId="0" applyFont="1" applyFill="1" applyBorder="1" applyAlignment="1">
      <alignment horizontal="left"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4" xfId="0" applyFont="1" applyFill="1" applyBorder="1" applyAlignment="1">
      <alignment horizontal="left" vertical="center" wrapText="1"/>
    </xf>
    <xf numFmtId="43" fontId="6" fillId="2" borderId="4" xfId="14" applyFont="1" applyFill="1" applyBorder="1" applyAlignment="1">
      <alignment horizontal="left" vertical="center" wrapText="1"/>
    </xf>
    <xf numFmtId="43" fontId="6" fillId="2" borderId="4" xfId="14" applyFont="1" applyFill="1" applyBorder="1" applyAlignment="1">
      <alignment vertical="center" wrapText="1"/>
    </xf>
    <xf numFmtId="0" fontId="6" fillId="5" borderId="4"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5" borderId="9" xfId="0" applyFont="1" applyFill="1" applyBorder="1" applyAlignment="1">
      <alignment horizontal="left" vertical="center" wrapText="1"/>
    </xf>
    <xf numFmtId="43" fontId="6" fillId="2" borderId="9" xfId="14" applyFont="1" applyFill="1" applyBorder="1" applyAlignment="1">
      <alignment horizontal="center" vertical="center" wrapText="1"/>
    </xf>
    <xf numFmtId="43" fontId="12" fillId="2" borderId="9" xfId="14" applyFont="1" applyFill="1" applyBorder="1" applyAlignment="1">
      <alignment vertical="center" wrapText="1"/>
    </xf>
    <xf numFmtId="0" fontId="6" fillId="5" borderId="9"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5" fillId="4" borderId="4" xfId="453" applyFont="1" applyFill="1" applyBorder="1" applyAlignment="1">
      <alignment horizontal="center" vertical="center" wrapText="1"/>
    </xf>
    <xf numFmtId="0" fontId="6" fillId="5" borderId="4" xfId="453" applyFont="1" applyFill="1" applyBorder="1" applyAlignment="1">
      <alignment horizontal="center" vertical="center" wrapText="1"/>
    </xf>
    <xf numFmtId="0" fontId="15" fillId="2" borderId="3" xfId="453" applyFont="1" applyFill="1" applyBorder="1" applyAlignment="1">
      <alignment horizontal="center" vertical="center" wrapText="1"/>
    </xf>
    <xf numFmtId="0" fontId="2" fillId="2" borderId="3" xfId="453" applyFont="1" applyFill="1" applyBorder="1" applyAlignment="1">
      <alignment horizontal="center" vertical="center" wrapText="1"/>
    </xf>
    <xf numFmtId="0" fontId="1" fillId="2" borderId="4" xfId="0" applyFont="1" applyFill="1" applyBorder="1" applyAlignment="1">
      <alignment horizontal="left" vertical="center" wrapText="1"/>
    </xf>
    <xf numFmtId="186" fontId="2" fillId="2" borderId="4" xfId="14" applyNumberFormat="1" applyFont="1" applyFill="1" applyBorder="1" applyAlignment="1">
      <alignment horizontal="center" vertical="center" wrapText="1"/>
    </xf>
    <xf numFmtId="207" fontId="2" fillId="2" borderId="4" xfId="453" applyNumberFormat="1" applyFont="1" applyFill="1" applyBorder="1" applyAlignment="1">
      <alignment vertical="center" wrapText="1"/>
    </xf>
    <xf numFmtId="194" fontId="16" fillId="2" borderId="4" xfId="453" applyNumberFormat="1" applyFont="1" applyFill="1" applyBorder="1" applyAlignment="1">
      <alignment horizontal="center" vertical="center" wrapText="1"/>
    </xf>
    <xf numFmtId="207" fontId="2" fillId="2" borderId="4" xfId="453" applyNumberFormat="1" applyFont="1" applyFill="1" applyBorder="1" applyAlignment="1">
      <alignment horizontal="center" vertical="center" wrapText="1"/>
    </xf>
    <xf numFmtId="207" fontId="11" fillId="2" borderId="4" xfId="453" applyNumberFormat="1" applyFont="1" applyFill="1" applyBorder="1" applyAlignment="1">
      <alignment vertical="center" wrapText="1"/>
    </xf>
    <xf numFmtId="187" fontId="11" fillId="2" borderId="4" xfId="384" applyNumberFormat="1" applyFont="1" applyFill="1" applyBorder="1" applyAlignment="1">
      <alignment vertical="center" wrapText="1"/>
    </xf>
    <xf numFmtId="206" fontId="2" fillId="2" borderId="4" xfId="453" applyNumberFormat="1" applyFont="1" applyFill="1" applyBorder="1" applyAlignment="1">
      <alignment horizontal="center" vertical="center" wrapText="1"/>
    </xf>
    <xf numFmtId="207" fontId="2" fillId="2" borderId="4" xfId="384" applyNumberFormat="1" applyFont="1" applyFill="1" applyBorder="1" applyAlignment="1">
      <alignment horizontal="right" vertical="center" wrapText="1"/>
    </xf>
    <xf numFmtId="215" fontId="2" fillId="2" borderId="4" xfId="453" applyNumberFormat="1" applyFont="1" applyFill="1" applyBorder="1" applyAlignment="1">
      <alignment horizontal="right" vertical="center" wrapText="1"/>
    </xf>
    <xf numFmtId="194" fontId="5" fillId="4" borderId="4" xfId="453" applyNumberFormat="1" applyFont="1" applyFill="1" applyBorder="1" applyAlignment="1">
      <alignment horizontal="center" vertical="center" wrapText="1"/>
    </xf>
    <xf numFmtId="0" fontId="10" fillId="2" borderId="4" xfId="453" applyFont="1" applyFill="1" applyBorder="1" applyAlignment="1">
      <alignment horizontal="center" vertical="center" wrapText="1"/>
    </xf>
    <xf numFmtId="186" fontId="2" fillId="2" borderId="3" xfId="14" applyNumberFormat="1" applyFont="1" applyFill="1" applyBorder="1" applyAlignment="1">
      <alignment horizontal="center" vertical="center" wrapText="1"/>
    </xf>
    <xf numFmtId="0" fontId="7" fillId="2" borderId="4" xfId="153" applyFont="1" applyFill="1" applyBorder="1" applyAlignment="1">
      <alignment horizontal="right" vertical="center" wrapText="1"/>
    </xf>
    <xf numFmtId="0" fontId="2" fillId="2" borderId="4" xfId="153" applyFont="1" applyFill="1" applyBorder="1" applyAlignment="1">
      <alignment horizontal="center" vertical="center" wrapText="1"/>
    </xf>
    <xf numFmtId="190" fontId="2" fillId="2" borderId="4" xfId="453" applyNumberFormat="1" applyFont="1" applyFill="1" applyBorder="1" applyAlignment="1">
      <alignment horizontal="center" vertical="center" wrapText="1"/>
    </xf>
    <xf numFmtId="0" fontId="2" fillId="2" borderId="4" xfId="153" applyFont="1" applyFill="1" applyBorder="1" applyAlignment="1">
      <alignment horizontal="right" vertical="center" wrapText="1"/>
    </xf>
    <xf numFmtId="0" fontId="15" fillId="2" borderId="3" xfId="0" applyFont="1" applyFill="1" applyBorder="1" applyAlignment="1">
      <alignment horizontal="center" vertical="center" wrapText="1"/>
    </xf>
    <xf numFmtId="0" fontId="15" fillId="2" borderId="3" xfId="0" applyFont="1" applyFill="1" applyBorder="1" applyAlignment="1">
      <alignment vertical="center" wrapText="1"/>
    </xf>
    <xf numFmtId="0" fontId="2" fillId="2" borderId="4" xfId="0" applyFont="1" applyFill="1" applyBorder="1" applyAlignment="1">
      <alignment horizontal="right" vertical="center" wrapText="1"/>
    </xf>
    <xf numFmtId="0" fontId="6" fillId="8" borderId="1" xfId="0" applyFont="1" applyFill="1" applyBorder="1" applyAlignment="1">
      <alignment horizontal="center" vertical="center" wrapText="1"/>
    </xf>
    <xf numFmtId="207" fontId="12" fillId="2" borderId="6" xfId="0" applyNumberFormat="1" applyFont="1" applyFill="1" applyBorder="1" applyAlignment="1">
      <alignment horizontal="center" vertical="center" wrapText="1"/>
    </xf>
    <xf numFmtId="0" fontId="12" fillId="2" borderId="6" xfId="0" applyFont="1" applyFill="1" applyBorder="1" applyAlignment="1">
      <alignment horizontal="center" vertical="center" wrapText="1"/>
    </xf>
    <xf numFmtId="0" fontId="6" fillId="8" borderId="3" xfId="0" applyFont="1" applyFill="1" applyBorder="1" applyAlignment="1">
      <alignment horizontal="center" vertical="center" wrapText="1"/>
    </xf>
    <xf numFmtId="43" fontId="6" fillId="2" borderId="7" xfId="14" applyFont="1" applyFill="1" applyBorder="1" applyAlignment="1">
      <alignment vertical="center" wrapText="1"/>
    </xf>
    <xf numFmtId="0" fontId="2" fillId="5" borderId="3" xfId="0" applyFont="1" applyFill="1" applyBorder="1" applyAlignment="1">
      <alignment vertical="center" wrapText="1"/>
    </xf>
    <xf numFmtId="207" fontId="12" fillId="2" borderId="7" xfId="0" applyNumberFormat="1"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3" xfId="0" applyFont="1" applyFill="1" applyBorder="1" applyAlignment="1">
      <alignment horizontal="right" vertical="center" wrapText="1"/>
    </xf>
    <xf numFmtId="0" fontId="2" fillId="2" borderId="8" xfId="0" applyFont="1" applyFill="1" applyBorder="1" applyAlignment="1">
      <alignment horizontal="center" vertical="center" wrapText="1"/>
    </xf>
    <xf numFmtId="43" fontId="12" fillId="2" borderId="11" xfId="14" applyFont="1" applyFill="1" applyBorder="1" applyAlignment="1">
      <alignment vertical="center" wrapText="1"/>
    </xf>
    <xf numFmtId="0" fontId="2" fillId="5" borderId="8" xfId="0" applyFont="1" applyFill="1" applyBorder="1" applyAlignment="1">
      <alignment horizontal="right" vertical="center" wrapText="1"/>
    </xf>
    <xf numFmtId="207" fontId="12" fillId="2" borderId="11" xfId="0" applyNumberFormat="1" applyFont="1" applyFill="1" applyBorder="1" applyAlignment="1">
      <alignment horizontal="center" vertical="center" wrapText="1"/>
    </xf>
    <xf numFmtId="0" fontId="12" fillId="3" borderId="6" xfId="0" applyFont="1" applyFill="1" applyBorder="1" applyAlignment="1">
      <alignment horizontal="center" vertical="center" wrapText="1"/>
    </xf>
    <xf numFmtId="0" fontId="9" fillId="4" borderId="4" xfId="0" applyFont="1" applyFill="1" applyBorder="1" applyAlignment="1">
      <alignment vertical="center" wrapText="1"/>
    </xf>
    <xf numFmtId="0" fontId="12" fillId="4" borderId="7" xfId="0" applyFont="1" applyFill="1" applyBorder="1" applyAlignment="1">
      <alignment horizontal="center" vertical="center" wrapText="1"/>
    </xf>
    <xf numFmtId="207" fontId="2" fillId="2" borderId="3" xfId="0" applyNumberFormat="1" applyFont="1" applyFill="1" applyBorder="1" applyAlignment="1">
      <alignment vertical="center" wrapText="1"/>
    </xf>
    <xf numFmtId="0" fontId="2" fillId="5" borderId="4" xfId="0" applyFont="1" applyFill="1" applyBorder="1" applyAlignment="1">
      <alignment vertical="center" wrapText="1"/>
    </xf>
    <xf numFmtId="0" fontId="12" fillId="5" borderId="7" xfId="0" applyFont="1" applyFill="1" applyBorder="1" applyAlignment="1">
      <alignment horizontal="center" vertical="center" wrapText="1"/>
    </xf>
    <xf numFmtId="207" fontId="2" fillId="2" borderId="4" xfId="453" applyNumberFormat="1" applyFont="1" applyFill="1" applyBorder="1" applyAlignment="1">
      <alignment horizontal="right" vertical="center" wrapText="1"/>
    </xf>
    <xf numFmtId="0" fontId="2" fillId="2" borderId="4" xfId="0" applyFont="1" applyFill="1" applyBorder="1" applyAlignment="1">
      <alignment vertical="center" wrapText="1"/>
    </xf>
    <xf numFmtId="0" fontId="12" fillId="2" borderId="7" xfId="0" applyFont="1" applyFill="1" applyBorder="1" applyAlignment="1">
      <alignment horizontal="center" vertical="center" wrapText="1"/>
    </xf>
    <xf numFmtId="0" fontId="8" fillId="2" borderId="0" xfId="0" applyFont="1" applyFill="1" applyAlignment="1">
      <alignment horizontal="center" vertical="center" wrapText="1"/>
    </xf>
    <xf numFmtId="207" fontId="2" fillId="2" borderId="4" xfId="0" applyNumberFormat="1" applyFont="1" applyFill="1" applyBorder="1" applyAlignment="1">
      <alignment vertical="center" wrapText="1"/>
    </xf>
    <xf numFmtId="207" fontId="8" fillId="2" borderId="4" xfId="0" applyNumberFormat="1" applyFont="1" applyFill="1" applyBorder="1" applyAlignment="1">
      <alignment vertical="center" wrapText="1"/>
    </xf>
    <xf numFmtId="43" fontId="8" fillId="2" borderId="4" xfId="0" applyNumberFormat="1" applyFont="1" applyFill="1" applyBorder="1" applyAlignment="1">
      <alignment vertical="center" wrapText="1"/>
    </xf>
    <xf numFmtId="43" fontId="12" fillId="2" borderId="7" xfId="0" applyNumberFormat="1" applyFont="1" applyFill="1" applyBorder="1" applyAlignment="1">
      <alignment horizontal="center" vertical="center" wrapText="1"/>
    </xf>
    <xf numFmtId="207" fontId="8" fillId="2" borderId="3" xfId="0" applyNumberFormat="1" applyFont="1" applyFill="1" applyBorder="1" applyAlignment="1">
      <alignment vertical="center" wrapText="1"/>
    </xf>
    <xf numFmtId="187" fontId="2" fillId="2" borderId="4" xfId="453" applyNumberFormat="1" applyFont="1" applyFill="1" applyBorder="1" applyAlignment="1">
      <alignment horizontal="right" vertical="center" wrapText="1"/>
    </xf>
    <xf numFmtId="187" fontId="2" fillId="2" borderId="4" xfId="0" applyNumberFormat="1" applyFont="1" applyFill="1" applyBorder="1" applyAlignment="1">
      <alignment vertical="center" wrapText="1"/>
    </xf>
    <xf numFmtId="187" fontId="12" fillId="2" borderId="7" xfId="0" applyNumberFormat="1" applyFont="1" applyFill="1" applyBorder="1" applyAlignment="1">
      <alignment horizontal="center" vertical="center" wrapText="1"/>
    </xf>
    <xf numFmtId="207" fontId="2" fillId="2" borderId="5" xfId="14" applyNumberFormat="1" applyFont="1" applyFill="1" applyBorder="1" applyAlignment="1">
      <alignment horizontal="center" vertical="center" wrapText="1"/>
    </xf>
    <xf numFmtId="207" fontId="2" fillId="2" borderId="4" xfId="14" applyNumberFormat="1" applyFont="1" applyFill="1" applyBorder="1" applyAlignment="1">
      <alignment horizontal="center" vertical="center" wrapText="1"/>
    </xf>
    <xf numFmtId="9" fontId="2" fillId="2" borderId="3" xfId="18" applyFont="1" applyFill="1" applyBorder="1" applyAlignment="1">
      <alignment horizontal="center" vertical="center" wrapText="1"/>
    </xf>
    <xf numFmtId="0" fontId="8" fillId="2" borderId="4" xfId="0" applyFont="1" applyFill="1" applyBorder="1" applyAlignment="1">
      <alignment vertical="center" wrapText="1"/>
    </xf>
    <xf numFmtId="0" fontId="2" fillId="4" borderId="4" xfId="0" applyFont="1" applyFill="1" applyBorder="1" applyAlignment="1">
      <alignment vertical="center" wrapText="1"/>
    </xf>
    <xf numFmtId="207" fontId="6" fillId="2" borderId="4" xfId="453" applyNumberFormat="1" applyFont="1" applyFill="1" applyBorder="1" applyAlignment="1">
      <alignment horizontal="right" vertical="center" wrapText="1"/>
    </xf>
    <xf numFmtId="0" fontId="6" fillId="8" borderId="2" xfId="0" applyFont="1" applyFill="1" applyBorder="1" applyAlignment="1">
      <alignment horizontal="center" vertical="center" wrapText="1"/>
    </xf>
    <xf numFmtId="0" fontId="6" fillId="8" borderId="4" xfId="0" applyFont="1" applyFill="1" applyBorder="1" applyAlignment="1">
      <alignment horizontal="center" vertical="center" wrapText="1"/>
    </xf>
    <xf numFmtId="206" fontId="2" fillId="2" borderId="4" xfId="0" applyNumberFormat="1" applyFont="1" applyFill="1" applyBorder="1" applyAlignment="1">
      <alignment horizontal="center" vertical="center" wrapText="1"/>
    </xf>
    <xf numFmtId="203" fontId="2" fillId="2" borderId="4" xfId="0" applyNumberFormat="1"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9" xfId="0" applyFont="1" applyFill="1" applyBorder="1" applyAlignment="1">
      <alignment vertical="center" wrapText="1"/>
    </xf>
    <xf numFmtId="0" fontId="6" fillId="8" borderId="13"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6" fillId="8" borderId="16" xfId="0" applyFont="1" applyFill="1" applyBorder="1" applyAlignment="1">
      <alignment horizontal="center" vertical="center" wrapText="1"/>
    </xf>
    <xf numFmtId="207" fontId="2" fillId="2" borderId="4" xfId="14" applyNumberFormat="1" applyFont="1" applyFill="1" applyBorder="1" applyAlignment="1">
      <alignment vertical="center" wrapText="1"/>
    </xf>
    <xf numFmtId="207" fontId="2" fillId="2" borderId="5" xfId="14" applyNumberFormat="1" applyFont="1" applyFill="1" applyBorder="1" applyAlignment="1">
      <alignment vertical="center" wrapText="1"/>
    </xf>
    <xf numFmtId="43" fontId="2" fillId="2" borderId="16" xfId="14" applyFont="1" applyFill="1" applyBorder="1" applyAlignment="1">
      <alignment horizontal="right" vertical="center" wrapText="1"/>
    </xf>
    <xf numFmtId="43" fontId="2" fillId="2" borderId="4" xfId="14" applyFont="1" applyFill="1" applyBorder="1" applyAlignment="1">
      <alignment horizontal="right" vertical="center" wrapText="1"/>
    </xf>
    <xf numFmtId="207" fontId="8" fillId="2" borderId="4" xfId="14" applyNumberFormat="1" applyFont="1" applyFill="1" applyBorder="1" applyAlignment="1">
      <alignment vertical="center" wrapText="1"/>
    </xf>
    <xf numFmtId="207" fontId="8" fillId="2" borderId="5" xfId="14" applyNumberFormat="1" applyFont="1" applyFill="1" applyBorder="1" applyAlignment="1">
      <alignment vertical="center" wrapText="1"/>
    </xf>
    <xf numFmtId="43" fontId="8" fillId="2" borderId="16" xfId="14" applyFont="1" applyFill="1" applyBorder="1" applyAlignment="1">
      <alignment horizontal="right" vertical="center" wrapText="1"/>
    </xf>
    <xf numFmtId="43" fontId="8" fillId="2" borderId="4" xfId="14" applyFont="1" applyFill="1" applyBorder="1" applyAlignment="1">
      <alignment horizontal="right" vertical="center" wrapText="1"/>
    </xf>
    <xf numFmtId="9" fontId="2" fillId="2" borderId="5" xfId="18" applyFont="1" applyFill="1" applyBorder="1" applyAlignment="1">
      <alignment horizontal="center" vertical="center" wrapText="1"/>
    </xf>
    <xf numFmtId="0" fontId="6" fillId="8" borderId="6"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2" fillId="2" borderId="11" xfId="0" applyFont="1" applyFill="1" applyBorder="1" applyAlignment="1">
      <alignment vertical="center" wrapText="1"/>
    </xf>
    <xf numFmtId="0" fontId="6" fillId="8" borderId="17" xfId="0" applyFont="1" applyFill="1" applyBorder="1" applyAlignment="1">
      <alignment horizontal="center" vertical="center" wrapText="1"/>
    </xf>
    <xf numFmtId="0" fontId="6" fillId="8" borderId="18" xfId="0" applyFont="1" applyFill="1" applyBorder="1" applyAlignment="1">
      <alignment horizontal="center" vertical="center" wrapText="1"/>
    </xf>
    <xf numFmtId="0" fontId="6" fillId="8" borderId="19" xfId="0" applyFont="1" applyFill="1" applyBorder="1" applyAlignment="1">
      <alignment horizontal="center" vertical="center" wrapText="1"/>
    </xf>
    <xf numFmtId="0" fontId="6" fillId="8" borderId="20" xfId="0" applyFont="1" applyFill="1" applyBorder="1" applyAlignment="1">
      <alignment horizontal="center" vertical="center" wrapText="1"/>
    </xf>
    <xf numFmtId="43" fontId="2" fillId="2" borderId="19" xfId="14" applyFont="1" applyFill="1" applyBorder="1" applyAlignment="1">
      <alignment horizontal="right" vertical="center" wrapText="1"/>
    </xf>
    <xf numFmtId="0" fontId="2" fillId="2" borderId="20" xfId="0" applyFont="1" applyFill="1" applyBorder="1" applyAlignment="1">
      <alignment vertical="center" wrapText="1"/>
    </xf>
    <xf numFmtId="43" fontId="8" fillId="2" borderId="19" xfId="14" applyFont="1" applyFill="1" applyBorder="1" applyAlignment="1">
      <alignment horizontal="right" vertical="center" wrapText="1"/>
    </xf>
    <xf numFmtId="0" fontId="8" fillId="2" borderId="20" xfId="0" applyFont="1" applyFill="1" applyBorder="1" applyAlignment="1">
      <alignment vertical="center" wrapText="1"/>
    </xf>
    <xf numFmtId="0" fontId="8" fillId="2" borderId="7" xfId="0" applyFont="1" applyFill="1" applyBorder="1" applyAlignment="1">
      <alignment vertical="center" wrapText="1"/>
    </xf>
    <xf numFmtId="0" fontId="2" fillId="2" borderId="4" xfId="379" applyFont="1" applyFill="1" applyBorder="1" applyAlignment="1">
      <alignment horizontal="right" vertical="center" wrapText="1"/>
    </xf>
    <xf numFmtId="0" fontId="2" fillId="2" borderId="4" xfId="379" applyFont="1" applyFill="1" applyBorder="1" applyAlignment="1">
      <alignment horizontal="center" vertical="center" wrapText="1"/>
    </xf>
    <xf numFmtId="0" fontId="6" fillId="2" borderId="4" xfId="453" applyFont="1" applyFill="1" applyBorder="1" applyAlignment="1">
      <alignment horizontal="center" vertical="center" wrapText="1"/>
    </xf>
    <xf numFmtId="194" fontId="6" fillId="2" borderId="4" xfId="453" applyNumberFormat="1" applyFont="1" applyFill="1" applyBorder="1" applyAlignment="1">
      <alignment horizontal="center" vertical="center" wrapText="1"/>
    </xf>
    <xf numFmtId="43" fontId="2" fillId="2" borderId="4" xfId="453" applyNumberFormat="1" applyFont="1" applyFill="1" applyBorder="1" applyAlignment="1">
      <alignment horizontal="center" vertical="center" wrapText="1"/>
    </xf>
    <xf numFmtId="0" fontId="6" fillId="0" borderId="4" xfId="453" applyFont="1" applyFill="1" applyBorder="1" applyAlignment="1">
      <alignment horizontal="left" vertical="center" wrapText="1"/>
    </xf>
    <xf numFmtId="0" fontId="2" fillId="0" borderId="4" xfId="453" applyFont="1" applyFill="1" applyBorder="1" applyAlignment="1">
      <alignment horizontal="center" vertical="center" wrapText="1"/>
    </xf>
    <xf numFmtId="206" fontId="2" fillId="0" borderId="4" xfId="453" applyNumberFormat="1" applyFont="1" applyFill="1" applyBorder="1" applyAlignment="1">
      <alignment horizontal="center" vertical="center" wrapText="1"/>
    </xf>
    <xf numFmtId="194" fontId="2" fillId="0" borderId="4" xfId="453" applyNumberFormat="1" applyFont="1" applyFill="1" applyBorder="1" applyAlignment="1">
      <alignment horizontal="center" vertical="center" wrapText="1"/>
    </xf>
    <xf numFmtId="215" fontId="2" fillId="0" borderId="4" xfId="453" applyNumberFormat="1" applyFont="1" applyFill="1" applyBorder="1" applyAlignment="1">
      <alignment horizontal="right" vertical="center" wrapText="1"/>
    </xf>
    <xf numFmtId="177" fontId="2" fillId="2" borderId="4" xfId="453" applyNumberFormat="1" applyFont="1" applyFill="1" applyBorder="1" applyAlignment="1">
      <alignment horizontal="center" vertical="center" wrapText="1"/>
    </xf>
    <xf numFmtId="177" fontId="2" fillId="2" borderId="4" xfId="42" applyNumberFormat="1" applyFont="1" applyFill="1" applyBorder="1" applyAlignment="1">
      <alignment horizontal="center" vertical="center" wrapText="1"/>
    </xf>
    <xf numFmtId="216" fontId="2" fillId="2" borderId="4" xfId="453" applyNumberFormat="1" applyFont="1" applyFill="1" applyBorder="1" applyAlignment="1">
      <alignment horizontal="center" vertical="center" wrapText="1"/>
    </xf>
    <xf numFmtId="0" fontId="2" fillId="9" borderId="4" xfId="0" applyFont="1" applyFill="1" applyBorder="1" applyAlignment="1">
      <alignment horizontal="center" vertical="center" wrapText="1"/>
    </xf>
    <xf numFmtId="0" fontId="2" fillId="2" borderId="4" xfId="453" applyFont="1" applyFill="1" applyBorder="1" applyAlignment="1">
      <alignment horizontal="left" vertical="center"/>
    </xf>
    <xf numFmtId="0" fontId="2" fillId="2" borderId="4" xfId="453" applyFont="1" applyFill="1" applyBorder="1" applyAlignment="1">
      <alignment horizontal="center" vertical="center"/>
    </xf>
    <xf numFmtId="0" fontId="2" fillId="2" borderId="4" xfId="453" applyFont="1" applyFill="1" applyBorder="1" applyAlignment="1">
      <alignment horizontal="right" vertical="center"/>
    </xf>
    <xf numFmtId="215" fontId="2" fillId="0" borderId="4" xfId="453" applyNumberFormat="1" applyFont="1" applyFill="1" applyBorder="1" applyAlignment="1">
      <alignment horizontal="center" vertical="center" wrapText="1"/>
    </xf>
    <xf numFmtId="0" fontId="5" fillId="0" borderId="4" xfId="453" applyFont="1" applyFill="1" applyBorder="1" applyAlignment="1">
      <alignment horizontal="center" vertical="center" wrapText="1"/>
    </xf>
    <xf numFmtId="194" fontId="5" fillId="0" borderId="4" xfId="453" applyNumberFormat="1" applyFont="1" applyFill="1" applyBorder="1" applyAlignment="1">
      <alignment horizontal="center" vertical="center" wrapText="1"/>
    </xf>
    <xf numFmtId="185" fontId="2" fillId="2" borderId="4" xfId="453" applyNumberFormat="1" applyFont="1" applyFill="1" applyBorder="1" applyAlignment="1">
      <alignment horizontal="center" vertical="center" wrapText="1"/>
    </xf>
    <xf numFmtId="206" fontId="6" fillId="2" borderId="4" xfId="453" applyNumberFormat="1" applyFont="1" applyFill="1" applyBorder="1" applyAlignment="1">
      <alignment horizontal="right" vertical="center" wrapText="1"/>
    </xf>
    <xf numFmtId="206" fontId="2" fillId="2" borderId="4" xfId="453" applyNumberFormat="1" applyFont="1" applyFill="1" applyBorder="1" applyAlignment="1">
      <alignment vertical="center" wrapText="1"/>
    </xf>
    <xf numFmtId="206" fontId="2" fillId="0" borderId="4" xfId="453" applyNumberFormat="1" applyFont="1" applyFill="1" applyBorder="1" applyAlignment="1">
      <alignment horizontal="right" vertical="center" wrapText="1"/>
    </xf>
    <xf numFmtId="0" fontId="8" fillId="0" borderId="4" xfId="0" applyFont="1" applyFill="1" applyBorder="1" applyAlignment="1">
      <alignment vertical="center" wrapText="1"/>
    </xf>
    <xf numFmtId="0" fontId="2" fillId="0" borderId="4" xfId="0" applyFont="1" applyFill="1" applyBorder="1" applyAlignment="1">
      <alignment vertical="center" wrapText="1"/>
    </xf>
    <xf numFmtId="207" fontId="5" fillId="0" borderId="4" xfId="453" applyNumberFormat="1" applyFont="1" applyFill="1" applyBorder="1" applyAlignment="1">
      <alignment horizontal="right" vertical="center" wrapText="1"/>
    </xf>
    <xf numFmtId="207" fontId="6" fillId="0" borderId="4" xfId="453" applyNumberFormat="1" applyFont="1" applyFill="1" applyBorder="1" applyAlignment="1">
      <alignment horizontal="right" vertical="center" wrapText="1"/>
    </xf>
    <xf numFmtId="0" fontId="2" fillId="2" borderId="20" xfId="0" applyFont="1" applyFill="1" applyBorder="1" applyAlignment="1">
      <alignment horizontal="center" vertical="center" wrapText="1"/>
    </xf>
    <xf numFmtId="194" fontId="6" fillId="0" borderId="4" xfId="453" applyNumberFormat="1" applyFont="1" applyFill="1" applyBorder="1" applyAlignment="1">
      <alignment horizontal="center" vertical="center" wrapText="1"/>
    </xf>
    <xf numFmtId="0" fontId="2" fillId="2" borderId="4" xfId="0" applyFont="1" applyFill="1" applyBorder="1" applyAlignment="1">
      <alignment horizontal="left" vertical="center" wrapText="1"/>
    </xf>
    <xf numFmtId="0" fontId="17" fillId="0" borderId="4" xfId="128" applyFont="1" applyFill="1" applyBorder="1" applyAlignment="1">
      <alignment horizontal="justify" vertical="center" wrapText="1"/>
    </xf>
    <xf numFmtId="207" fontId="2" fillId="10" borderId="3" xfId="0" applyNumberFormat="1" applyFont="1" applyFill="1" applyBorder="1" applyAlignment="1">
      <alignment vertical="center" wrapText="1"/>
    </xf>
    <xf numFmtId="0" fontId="2" fillId="5" borderId="4" xfId="0" applyFont="1" applyFill="1" applyBorder="1" applyAlignment="1">
      <alignment horizontal="left" vertical="center" wrapText="1"/>
    </xf>
    <xf numFmtId="0" fontId="12" fillId="0" borderId="7" xfId="0" applyFont="1" applyFill="1" applyBorder="1" applyAlignment="1">
      <alignment horizontal="center" vertical="center" wrapText="1"/>
    </xf>
    <xf numFmtId="207" fontId="2" fillId="10" borderId="4" xfId="14" applyNumberFormat="1" applyFont="1" applyFill="1" applyBorder="1" applyAlignment="1">
      <alignment vertical="center" wrapText="1"/>
    </xf>
    <xf numFmtId="207" fontId="2" fillId="10" borderId="5" xfId="14" applyNumberFormat="1" applyFont="1" applyFill="1" applyBorder="1" applyAlignment="1">
      <alignment vertical="center" wrapText="1"/>
    </xf>
    <xf numFmtId="0" fontId="3" fillId="2" borderId="0" xfId="42" applyFont="1" applyFill="1" applyAlignment="1">
      <alignment horizontal="center" vertical="center" wrapText="1"/>
    </xf>
    <xf numFmtId="0" fontId="3" fillId="2" borderId="21" xfId="42" applyFont="1" applyFill="1" applyBorder="1" applyAlignment="1">
      <alignment horizontal="center" vertical="center" wrapText="1"/>
    </xf>
    <xf numFmtId="207" fontId="2" fillId="2" borderId="4" xfId="144" applyNumberFormat="1" applyFont="1" applyFill="1" applyBorder="1" applyAlignment="1">
      <alignment horizontal="center" vertical="center" wrapText="1"/>
    </xf>
    <xf numFmtId="207" fontId="2" fillId="11" borderId="12" xfId="0" applyNumberFormat="1" applyFont="1" applyFill="1" applyBorder="1" applyAlignment="1">
      <alignment horizontal="center" vertical="center" wrapText="1"/>
    </xf>
    <xf numFmtId="206" fontId="2" fillId="11" borderId="12" xfId="0" applyNumberFormat="1" applyFont="1" applyFill="1" applyBorder="1" applyAlignment="1">
      <alignment horizontal="center" vertical="center" wrapText="1"/>
    </xf>
    <xf numFmtId="200" fontId="2" fillId="11" borderId="4" xfId="42" applyNumberFormat="1" applyFont="1" applyFill="1" applyBorder="1" applyAlignment="1">
      <alignment horizontal="center" vertical="center" wrapText="1"/>
    </xf>
    <xf numFmtId="207" fontId="6" fillId="11" borderId="12" xfId="0" applyNumberFormat="1" applyFont="1" applyFill="1" applyBorder="1" applyAlignment="1">
      <alignment horizontal="center" vertical="center" wrapText="1"/>
    </xf>
    <xf numFmtId="0" fontId="7" fillId="2" borderId="4" xfId="42" applyFont="1" applyFill="1" applyBorder="1" applyAlignment="1">
      <alignment horizontal="right" vertical="center" wrapText="1"/>
    </xf>
    <xf numFmtId="207" fontId="2" fillId="11" borderId="4" xfId="0" applyNumberFormat="1" applyFont="1" applyFill="1" applyBorder="1" applyAlignment="1">
      <alignment horizontal="center" vertical="center" wrapText="1"/>
    </xf>
    <xf numFmtId="207" fontId="5" fillId="4" borderId="5" xfId="42" applyNumberFormat="1" applyFont="1" applyFill="1" applyBorder="1" applyAlignment="1">
      <alignment horizontal="center" vertical="center" wrapText="1"/>
    </xf>
    <xf numFmtId="207" fontId="8" fillId="4" borderId="7" xfId="42" applyNumberFormat="1" applyFont="1" applyFill="1" applyBorder="1" applyAlignment="1">
      <alignment horizontal="center" vertical="center" wrapText="1"/>
    </xf>
    <xf numFmtId="207" fontId="6" fillId="2" borderId="5" xfId="42" applyNumberFormat="1" applyFont="1" applyFill="1" applyBorder="1" applyAlignment="1">
      <alignment horizontal="center" vertical="center" wrapText="1"/>
    </xf>
    <xf numFmtId="207" fontId="2" fillId="2" borderId="7" xfId="42" applyNumberFormat="1" applyFont="1" applyFill="1" applyBorder="1" applyAlignment="1">
      <alignment horizontal="center" vertical="center" wrapText="1"/>
    </xf>
    <xf numFmtId="207" fontId="2" fillId="2" borderId="5" xfId="144" applyNumberFormat="1" applyFont="1" applyFill="1" applyBorder="1" applyAlignment="1">
      <alignment horizontal="center" vertical="center" wrapText="1"/>
    </xf>
    <xf numFmtId="215" fontId="1" fillId="2" borderId="7" xfId="42" applyNumberFormat="1" applyFont="1" applyFill="1" applyBorder="1" applyAlignment="1">
      <alignment horizontal="center" vertical="center" wrapText="1"/>
    </xf>
    <xf numFmtId="207" fontId="2" fillId="2" borderId="5" xfId="42" applyNumberFormat="1" applyFont="1" applyFill="1" applyBorder="1" applyAlignment="1">
      <alignment horizontal="center" vertical="center" wrapText="1"/>
    </xf>
    <xf numFmtId="207" fontId="2" fillId="2" borderId="7" xfId="42" applyNumberFormat="1" applyFont="1" applyFill="1" applyBorder="1" applyAlignment="1">
      <alignment horizontal="left" vertical="center" wrapText="1"/>
    </xf>
    <xf numFmtId="0" fontId="2" fillId="2" borderId="7" xfId="42" applyFont="1" applyFill="1" applyBorder="1" applyAlignment="1">
      <alignment horizontal="center" vertical="center" wrapText="1"/>
    </xf>
    <xf numFmtId="207" fontId="8" fillId="2" borderId="7" xfId="42" applyNumberFormat="1" applyFont="1" applyFill="1" applyBorder="1" applyAlignment="1">
      <alignment horizontal="center" vertical="center" wrapText="1"/>
    </xf>
    <xf numFmtId="207" fontId="9" fillId="4" borderId="7" xfId="42" applyNumberFormat="1" applyFont="1" applyFill="1" applyBorder="1" applyAlignment="1">
      <alignment horizontal="center" vertical="center" wrapText="1"/>
    </xf>
    <xf numFmtId="0" fontId="2" fillId="2" borderId="7" xfId="384" applyFont="1" applyFill="1" applyBorder="1" applyAlignment="1">
      <alignment horizontal="center" vertical="center" wrapText="1"/>
    </xf>
    <xf numFmtId="215" fontId="2" fillId="11" borderId="4" xfId="42" applyNumberFormat="1" applyFont="1" applyFill="1" applyBorder="1" applyAlignment="1">
      <alignment horizontal="center" vertical="center" wrapText="1"/>
    </xf>
    <xf numFmtId="207" fontId="2" fillId="2" borderId="10" xfId="42" applyNumberFormat="1" applyFont="1" applyFill="1" applyBorder="1" applyAlignment="1">
      <alignment horizontal="center" vertical="center" wrapText="1"/>
    </xf>
    <xf numFmtId="207" fontId="2" fillId="2" borderId="11" xfId="42" applyNumberFormat="1" applyFont="1" applyFill="1" applyBorder="1" applyAlignment="1">
      <alignment horizontal="center" vertical="center" wrapText="1"/>
    </xf>
    <xf numFmtId="207" fontId="6" fillId="2" borderId="4" xfId="42" applyNumberFormat="1" applyFont="1" applyFill="1" applyBorder="1" applyAlignment="1">
      <alignment horizontal="left" vertical="center" wrapText="1"/>
    </xf>
    <xf numFmtId="215" fontId="6" fillId="2" borderId="4" xfId="42" applyNumberFormat="1" applyFont="1" applyFill="1" applyBorder="1" applyAlignment="1">
      <alignment vertical="center" wrapText="1"/>
    </xf>
    <xf numFmtId="206" fontId="2" fillId="2" borderId="4" xfId="46" applyNumberFormat="1" applyFont="1" applyFill="1" applyBorder="1" applyAlignment="1">
      <alignment horizontal="right" vertical="center" wrapText="1"/>
    </xf>
    <xf numFmtId="203" fontId="2" fillId="2" borderId="4" xfId="46" applyNumberFormat="1" applyFont="1" applyFill="1" applyBorder="1" applyAlignment="1">
      <alignment horizontal="right" vertical="center" wrapText="1"/>
    </xf>
    <xf numFmtId="9" fontId="2" fillId="2" borderId="4" xfId="18" applyFont="1" applyFill="1" applyBorder="1" applyAlignment="1">
      <alignment horizontal="right" vertical="center" wrapText="1"/>
    </xf>
    <xf numFmtId="215" fontId="5" fillId="4" borderId="4" xfId="42" applyNumberFormat="1" applyFont="1" applyFill="1" applyBorder="1" applyAlignment="1">
      <alignment vertical="center" wrapText="1"/>
    </xf>
    <xf numFmtId="0" fontId="6" fillId="2" borderId="4" xfId="42" applyFont="1" applyFill="1" applyBorder="1" applyAlignment="1">
      <alignment horizontal="center" vertical="center" wrapText="1"/>
    </xf>
    <xf numFmtId="207" fontId="10" fillId="2" borderId="4" xfId="42" applyNumberFormat="1" applyFont="1" applyFill="1" applyBorder="1" applyAlignment="1">
      <alignment horizontal="left" vertical="center" wrapText="1"/>
    </xf>
    <xf numFmtId="0" fontId="2" fillId="2" borderId="4" xfId="103" applyFont="1" applyFill="1" applyBorder="1" applyAlignment="1">
      <alignment horizontal="left" vertical="center" wrapText="1"/>
    </xf>
    <xf numFmtId="207" fontId="10" fillId="2" borderId="9" xfId="42" applyNumberFormat="1" applyFont="1" applyFill="1" applyBorder="1" applyAlignment="1">
      <alignment horizontal="left" vertical="center" wrapText="1"/>
    </xf>
    <xf numFmtId="215" fontId="2" fillId="2" borderId="9" xfId="42" applyNumberFormat="1" applyFont="1" applyFill="1" applyBorder="1" applyAlignment="1">
      <alignment vertical="center" wrapText="1"/>
    </xf>
    <xf numFmtId="207" fontId="2" fillId="0" borderId="9" xfId="42" applyNumberFormat="1" applyFont="1" applyFill="1" applyBorder="1" applyAlignment="1">
      <alignment horizontal="right" vertical="center" wrapText="1"/>
    </xf>
    <xf numFmtId="207" fontId="6" fillId="4" borderId="5" xfId="42" applyNumberFormat="1" applyFont="1" applyFill="1" applyBorder="1" applyAlignment="1">
      <alignment vertical="center" wrapText="1"/>
    </xf>
    <xf numFmtId="207" fontId="2" fillId="0" borderId="10" xfId="42" applyNumberFormat="1" applyFont="1" applyFill="1" applyBorder="1" applyAlignment="1">
      <alignment horizontal="right" vertical="center" wrapText="1"/>
    </xf>
    <xf numFmtId="207" fontId="6" fillId="4" borderId="4" xfId="42" applyNumberFormat="1" applyFont="1" applyFill="1" applyBorder="1" applyAlignment="1">
      <alignment vertical="center" wrapText="1"/>
    </xf>
    <xf numFmtId="0" fontId="2" fillId="12" borderId="4" xfId="453" applyFont="1" applyFill="1" applyBorder="1" applyAlignment="1">
      <alignment horizontal="center" vertical="center" wrapText="1"/>
    </xf>
    <xf numFmtId="0" fontId="18" fillId="2" borderId="3" xfId="453" applyFont="1" applyFill="1" applyBorder="1" applyAlignment="1">
      <alignment horizontal="center" vertical="center" wrapText="1"/>
    </xf>
    <xf numFmtId="207" fontId="2" fillId="2" borderId="4" xfId="384" applyNumberFormat="1" applyFont="1" applyFill="1" applyBorder="1" applyAlignment="1">
      <alignment vertical="center" wrapText="1"/>
    </xf>
    <xf numFmtId="0" fontId="1" fillId="2" borderId="4" xfId="153" applyFont="1" applyFill="1" applyBorder="1" applyAlignment="1">
      <alignment horizontal="right" vertical="center" wrapText="1"/>
    </xf>
    <xf numFmtId="216" fontId="11" fillId="2" borderId="4" xfId="453" applyNumberFormat="1" applyFont="1" applyFill="1" applyBorder="1" applyAlignment="1">
      <alignment horizontal="center" vertical="center" wrapText="1"/>
    </xf>
    <xf numFmtId="203" fontId="2" fillId="0" borderId="4" xfId="453" applyNumberFormat="1" applyFont="1" applyFill="1" applyBorder="1" applyAlignment="1">
      <alignment horizontal="center" vertical="center" wrapText="1"/>
    </xf>
    <xf numFmtId="0" fontId="6" fillId="0" borderId="4" xfId="453" applyFont="1" applyFill="1" applyBorder="1" applyAlignment="1">
      <alignment horizontal="center" vertical="center" wrapText="1"/>
    </xf>
    <xf numFmtId="0" fontId="2" fillId="2" borderId="4" xfId="453" applyFont="1" applyFill="1" applyBorder="1" applyAlignment="1">
      <alignment vertical="center"/>
    </xf>
    <xf numFmtId="194" fontId="11" fillId="2" borderId="4" xfId="453" applyNumberFormat="1" applyFont="1" applyFill="1" applyBorder="1" applyAlignment="1">
      <alignment horizontal="center" vertical="center" wrapText="1"/>
    </xf>
    <xf numFmtId="206" fontId="11" fillId="2" borderId="4" xfId="453" applyNumberFormat="1" applyFont="1" applyFill="1" applyBorder="1" applyAlignment="1">
      <alignment horizontal="right" vertical="center" wrapText="1"/>
    </xf>
    <xf numFmtId="186" fontId="2" fillId="0" borderId="4" xfId="14" applyNumberFormat="1" applyFont="1" applyFill="1" applyBorder="1" applyAlignment="1">
      <alignment horizontal="center" vertical="center" wrapText="1"/>
    </xf>
    <xf numFmtId="0" fontId="11" fillId="0" borderId="4" xfId="453" applyFont="1" applyFill="1" applyBorder="1" applyAlignment="1">
      <alignment horizontal="center" vertical="center" wrapText="1"/>
    </xf>
    <xf numFmtId="194" fontId="11" fillId="0" borderId="4" xfId="453" applyNumberFormat="1" applyFont="1" applyFill="1" applyBorder="1" applyAlignment="1">
      <alignment horizontal="center" vertical="center" wrapText="1"/>
    </xf>
    <xf numFmtId="206" fontId="11" fillId="0" borderId="4" xfId="453" applyNumberFormat="1" applyFont="1" applyFill="1" applyBorder="1" applyAlignment="1">
      <alignment horizontal="right" vertical="center" wrapText="1"/>
    </xf>
    <xf numFmtId="216" fontId="11" fillId="0" borderId="4" xfId="453" applyNumberFormat="1" applyFont="1" applyFill="1" applyBorder="1" applyAlignment="1">
      <alignment horizontal="center" vertical="center" wrapText="1"/>
    </xf>
    <xf numFmtId="0" fontId="2" fillId="0" borderId="4" xfId="0" applyFont="1" applyFill="1" applyBorder="1" applyAlignment="1">
      <alignment horizontal="center" vertical="center" wrapText="1"/>
    </xf>
    <xf numFmtId="0" fontId="19" fillId="2" borderId="4" xfId="453"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12" fillId="2" borderId="4" xfId="0" applyFont="1" applyFill="1" applyBorder="1" applyAlignment="1">
      <alignment horizontal="center" vertical="center" wrapText="1"/>
    </xf>
    <xf numFmtId="207" fontId="12" fillId="2" borderId="4" xfId="0" applyNumberFormat="1" applyFont="1" applyFill="1" applyBorder="1" applyAlignment="1">
      <alignment horizontal="center" vertical="center" wrapText="1"/>
    </xf>
    <xf numFmtId="0" fontId="12" fillId="5" borderId="4" xfId="0" applyFont="1" applyFill="1" applyBorder="1" applyAlignment="1">
      <alignment horizontal="center" vertical="center" wrapText="1"/>
    </xf>
    <xf numFmtId="207" fontId="2" fillId="0" borderId="4" xfId="453" applyNumberFormat="1" applyFont="1" applyFill="1" applyBorder="1" applyAlignment="1">
      <alignment horizontal="right" vertical="center" wrapText="1"/>
    </xf>
    <xf numFmtId="0" fontId="12" fillId="0" borderId="4" xfId="0" applyFont="1" applyFill="1" applyBorder="1" applyAlignment="1">
      <alignment horizontal="center" vertical="center" wrapText="1"/>
    </xf>
    <xf numFmtId="207" fontId="2" fillId="2" borderId="8" xfId="0" applyNumberFormat="1" applyFont="1" applyFill="1" applyBorder="1" applyAlignment="1">
      <alignment vertical="center" wrapText="1"/>
    </xf>
    <xf numFmtId="207" fontId="2" fillId="2" borderId="9" xfId="14" applyNumberFormat="1" applyFont="1" applyFill="1" applyBorder="1" applyAlignment="1">
      <alignment vertical="center" wrapText="1"/>
    </xf>
    <xf numFmtId="207" fontId="2" fillId="2" borderId="10" xfId="14" applyNumberFormat="1" applyFont="1" applyFill="1" applyBorder="1" applyAlignment="1">
      <alignment vertical="center" wrapText="1"/>
    </xf>
    <xf numFmtId="43" fontId="2" fillId="2" borderId="22" xfId="14" applyFont="1" applyFill="1" applyBorder="1" applyAlignment="1">
      <alignment horizontal="right" vertical="center" wrapText="1"/>
    </xf>
    <xf numFmtId="43" fontId="2" fillId="2" borderId="9" xfId="14" applyFont="1" applyFill="1" applyBorder="1" applyAlignment="1">
      <alignment horizontal="right" vertical="center" wrapText="1"/>
    </xf>
    <xf numFmtId="43" fontId="2" fillId="2" borderId="23" xfId="14" applyFont="1" applyFill="1" applyBorder="1" applyAlignment="1">
      <alignment horizontal="right" vertical="center" wrapText="1"/>
    </xf>
    <xf numFmtId="0" fontId="2" fillId="2" borderId="24" xfId="0" applyFont="1" applyFill="1" applyBorder="1" applyAlignment="1">
      <alignment vertical="center" wrapText="1"/>
    </xf>
    <xf numFmtId="207" fontId="2" fillId="2" borderId="12" xfId="0" applyNumberFormat="1" applyFont="1" applyFill="1" applyBorder="1" applyAlignment="1">
      <alignment vertical="center" wrapText="1"/>
    </xf>
    <xf numFmtId="215" fontId="2" fillId="7" borderId="4" xfId="42" applyNumberFormat="1" applyFont="1" applyFill="1" applyBorder="1" applyAlignment="1">
      <alignment vertical="center" wrapText="1"/>
    </xf>
    <xf numFmtId="207" fontId="2" fillId="7" borderId="4" xfId="42" applyNumberFormat="1" applyFont="1" applyFill="1" applyBorder="1" applyAlignment="1">
      <alignment vertical="center" wrapText="1"/>
    </xf>
    <xf numFmtId="215" fontId="2" fillId="2" borderId="4" xfId="378" applyNumberFormat="1" applyFont="1" applyFill="1" applyBorder="1" applyAlignment="1">
      <alignment horizontal="center" vertical="center" wrapText="1"/>
    </xf>
    <xf numFmtId="0" fontId="20" fillId="2" borderId="0" xfId="0" applyFont="1" applyFill="1" applyAlignment="1">
      <alignment vertical="center" wrapText="1"/>
    </xf>
    <xf numFmtId="0" fontId="1" fillId="2" borderId="0" xfId="0" applyFont="1" applyFill="1"/>
    <xf numFmtId="0" fontId="21" fillId="2" borderId="0" xfId="0" applyFont="1" applyFill="1" applyBorder="1" applyAlignment="1">
      <alignment horizontal="center" vertical="center"/>
    </xf>
    <xf numFmtId="0" fontId="20" fillId="2" borderId="0" xfId="0" applyFont="1" applyFill="1" applyBorder="1" applyAlignment="1">
      <alignment horizontal="center" vertical="center" wrapText="1"/>
    </xf>
    <xf numFmtId="0" fontId="20" fillId="2" borderId="0" xfId="0" applyFont="1" applyFill="1" applyBorder="1" applyAlignment="1">
      <alignment horizontal="left" vertical="center" wrapText="1"/>
    </xf>
    <xf numFmtId="0" fontId="22" fillId="0" borderId="0" xfId="0" applyFont="1" applyBorder="1" applyAlignment="1">
      <alignment horizontal="center" vertical="center"/>
    </xf>
    <xf numFmtId="0" fontId="22" fillId="0" borderId="0" xfId="0" applyFont="1" applyBorder="1"/>
    <xf numFmtId="0" fontId="23" fillId="0" borderId="25" xfId="0" applyFont="1" applyBorder="1" applyAlignment="1">
      <alignment horizontal="center"/>
    </xf>
    <xf numFmtId="0" fontId="6" fillId="3" borderId="4" xfId="0" applyNumberFormat="1" applyFont="1" applyFill="1" applyBorder="1" applyAlignment="1">
      <alignment horizontal="center" vertical="center" wrapText="1"/>
    </xf>
    <xf numFmtId="206" fontId="6" fillId="3" borderId="26" xfId="0" applyNumberFormat="1" applyFont="1" applyFill="1" applyBorder="1" applyAlignment="1">
      <alignment horizontal="center" vertical="center" wrapText="1"/>
    </xf>
    <xf numFmtId="206" fontId="6" fillId="3" borderId="4" xfId="0" applyNumberFormat="1" applyFont="1" applyFill="1" applyBorder="1" applyAlignment="1">
      <alignment horizontal="center" vertical="center" wrapText="1"/>
    </xf>
    <xf numFmtId="206" fontId="6" fillId="3" borderId="12" xfId="0" applyNumberFormat="1" applyFont="1" applyFill="1" applyBorder="1" applyAlignment="1">
      <alignment horizontal="center" vertical="center" wrapText="1"/>
    </xf>
    <xf numFmtId="0" fontId="0" fillId="0" borderId="4" xfId="0" applyBorder="1"/>
    <xf numFmtId="0" fontId="22" fillId="0" borderId="4" xfId="0" applyFont="1" applyBorder="1"/>
    <xf numFmtId="0" fontId="24" fillId="13" borderId="4" xfId="0" applyFont="1" applyFill="1" applyBorder="1"/>
    <xf numFmtId="0" fontId="24" fillId="14" borderId="4" xfId="0" applyFont="1" applyFill="1" applyBorder="1"/>
    <xf numFmtId="0" fontId="22" fillId="0" borderId="26" xfId="0" applyFont="1" applyBorder="1" applyAlignment="1">
      <alignment horizontal="left" vertical="center" wrapText="1"/>
    </xf>
    <xf numFmtId="0" fontId="22" fillId="0" borderId="27" xfId="0" applyFont="1" applyBorder="1" applyAlignment="1">
      <alignment horizontal="left" vertical="center" wrapText="1"/>
    </xf>
    <xf numFmtId="0" fontId="22" fillId="0" borderId="12" xfId="0" applyFont="1" applyBorder="1" applyAlignment="1">
      <alignment horizontal="left" vertical="center" wrapText="1"/>
    </xf>
    <xf numFmtId="0" fontId="0" fillId="0" borderId="0" xfId="0" applyBorder="1"/>
    <xf numFmtId="0" fontId="24" fillId="15" borderId="0" xfId="0" applyFont="1" applyFill="1" applyBorder="1"/>
    <xf numFmtId="0" fontId="22" fillId="0" borderId="0" xfId="0" applyFont="1" applyBorder="1" applyAlignment="1">
      <alignment horizontal="left" vertical="center" wrapText="1"/>
    </xf>
    <xf numFmtId="0" fontId="22" fillId="0" borderId="4" xfId="0" applyFont="1" applyBorder="1" applyAlignment="1">
      <alignment horizontal="center" vertical="center"/>
    </xf>
    <xf numFmtId="0" fontId="22" fillId="0" borderId="4" xfId="0" applyFont="1" applyBorder="1" applyAlignment="1">
      <alignment horizontal="left" vertical="center"/>
    </xf>
    <xf numFmtId="0" fontId="22" fillId="13" borderId="4" xfId="0" applyFont="1" applyFill="1" applyBorder="1"/>
    <xf numFmtId="0" fontId="22" fillId="14" borderId="4" xfId="0" applyFont="1" applyFill="1" applyBorder="1"/>
    <xf numFmtId="0" fontId="22" fillId="0" borderId="26" xfId="0" applyFont="1" applyBorder="1" applyAlignment="1">
      <alignment horizontal="center"/>
    </xf>
    <xf numFmtId="0" fontId="22" fillId="0" borderId="26" xfId="0" applyFont="1" applyBorder="1" applyAlignment="1">
      <alignment horizontal="left" vertical="top" wrapText="1"/>
    </xf>
    <xf numFmtId="0" fontId="22" fillId="0" borderId="27" xfId="0" applyFont="1" applyBorder="1" applyAlignment="1">
      <alignment horizontal="center"/>
    </xf>
    <xf numFmtId="0" fontId="22" fillId="0" borderId="27" xfId="0" applyFont="1" applyBorder="1" applyAlignment="1">
      <alignment horizontal="left" vertical="top" wrapText="1"/>
    </xf>
    <xf numFmtId="0" fontId="22" fillId="0" borderId="12" xfId="0" applyFont="1" applyBorder="1" applyAlignment="1">
      <alignment horizontal="center"/>
    </xf>
    <xf numFmtId="0" fontId="22" fillId="0" borderId="12" xfId="0" applyFont="1" applyBorder="1" applyAlignment="1">
      <alignment horizontal="left" vertical="top" wrapText="1"/>
    </xf>
    <xf numFmtId="0" fontId="22" fillId="15" borderId="0" xfId="0" applyFont="1" applyFill="1" applyBorder="1"/>
    <xf numFmtId="0" fontId="22" fillId="0" borderId="4" xfId="0" applyFont="1" applyBorder="1" applyAlignment="1">
      <alignment horizontal="center" vertical="center" wrapText="1"/>
    </xf>
    <xf numFmtId="0" fontId="25" fillId="0" borderId="4" xfId="0" applyFont="1" applyBorder="1"/>
    <xf numFmtId="0" fontId="0" fillId="0" borderId="4" xfId="0" applyFill="1" applyBorder="1"/>
    <xf numFmtId="0" fontId="22" fillId="0" borderId="26" xfId="0" applyFont="1" applyBorder="1" applyAlignment="1">
      <alignment horizontal="center" vertical="top" wrapText="1"/>
    </xf>
    <xf numFmtId="9" fontId="22" fillId="14" borderId="4" xfId="0" applyNumberFormat="1" applyFont="1" applyFill="1" applyBorder="1"/>
    <xf numFmtId="2" fontId="22" fillId="14" borderId="4" xfId="0" applyNumberFormat="1" applyFont="1" applyFill="1" applyBorder="1"/>
    <xf numFmtId="0" fontId="22" fillId="0" borderId="27" xfId="0" applyFont="1" applyBorder="1" applyAlignment="1">
      <alignment horizontal="center" vertical="top" wrapText="1"/>
    </xf>
    <xf numFmtId="0" fontId="22" fillId="0" borderId="12" xfId="0" applyFont="1" applyBorder="1" applyAlignment="1">
      <alignment horizontal="center" vertical="top" wrapText="1"/>
    </xf>
    <xf numFmtId="2" fontId="26" fillId="14" borderId="4" xfId="0" applyNumberFormat="1" applyFont="1" applyFill="1" applyBorder="1" applyAlignment="1">
      <alignment horizontal="center" vertical="center"/>
    </xf>
    <xf numFmtId="2" fontId="22" fillId="0" borderId="4" xfId="0" applyNumberFormat="1" applyFont="1" applyBorder="1"/>
    <xf numFmtId="0" fontId="25" fillId="0" borderId="0" xfId="0" applyFont="1"/>
    <xf numFmtId="0" fontId="22" fillId="0" borderId="0" xfId="0" applyFont="1" applyBorder="1" applyAlignment="1">
      <alignment horizontal="left" vertical="top" wrapText="1"/>
    </xf>
    <xf numFmtId="0" fontId="22" fillId="0" borderId="0" xfId="0" applyFont="1" applyBorder="1" applyAlignment="1">
      <alignment horizontal="left" vertical="top"/>
    </xf>
    <xf numFmtId="0" fontId="27" fillId="0" borderId="0" xfId="352"/>
    <xf numFmtId="0" fontId="1" fillId="0" borderId="0" xfId="352" applyFont="1"/>
    <xf numFmtId="0" fontId="1" fillId="0" borderId="0" xfId="352" applyFont="1" applyAlignment="1">
      <alignment horizontal="left" vertical="center"/>
    </xf>
    <xf numFmtId="0" fontId="27" fillId="0" borderId="0" xfId="352" applyAlignment="1">
      <alignment horizontal="left" vertical="center"/>
    </xf>
    <xf numFmtId="0" fontId="2" fillId="2" borderId="4" xfId="352" applyFont="1" applyFill="1" applyBorder="1" applyAlignment="1">
      <alignment horizontal="left" vertical="center" wrapText="1"/>
    </xf>
    <xf numFmtId="0" fontId="1" fillId="0" borderId="4" xfId="352" applyFont="1" applyBorder="1"/>
    <xf numFmtId="0" fontId="26" fillId="13" borderId="4" xfId="352" applyNumberFormat="1" applyFont="1" applyFill="1" applyBorder="1" applyAlignment="1" applyProtection="1">
      <alignment horizontal="center" vertical="center"/>
    </xf>
    <xf numFmtId="0" fontId="26" fillId="0" borderId="4" xfId="352" applyFont="1" applyFill="1" applyBorder="1" applyAlignment="1">
      <alignment horizontal="left" vertical="center"/>
    </xf>
    <xf numFmtId="0" fontId="26" fillId="0" borderId="4" xfId="352" applyFont="1" applyFill="1" applyBorder="1" applyAlignment="1">
      <alignment horizontal="center" vertical="center"/>
    </xf>
    <xf numFmtId="0" fontId="26" fillId="0" borderId="4" xfId="0" applyFont="1" applyFill="1" applyBorder="1" applyAlignment="1">
      <alignment horizontal="left"/>
    </xf>
    <xf numFmtId="0" fontId="27" fillId="0" borderId="4" xfId="352" applyBorder="1"/>
    <xf numFmtId="0" fontId="28" fillId="0" borderId="4" xfId="285" applyNumberFormat="1" applyFont="1" applyFill="1" applyBorder="1" applyAlignment="1" applyProtection="1">
      <alignment horizontal="center" vertical="center"/>
    </xf>
    <xf numFmtId="0" fontId="28" fillId="0" borderId="4" xfId="285" applyNumberFormat="1" applyFont="1" applyFill="1" applyBorder="1" applyAlignment="1" applyProtection="1">
      <alignment horizontal="left" vertical="center"/>
    </xf>
    <xf numFmtId="0" fontId="29" fillId="0" borderId="4" xfId="352" applyFont="1" applyFill="1" applyBorder="1" applyAlignment="1">
      <alignment horizontal="center" vertical="center"/>
    </xf>
    <xf numFmtId="190" fontId="30" fillId="0" borderId="4" xfId="352" applyNumberFormat="1" applyFont="1" applyFill="1" applyBorder="1" applyAlignment="1">
      <alignment horizontal="left" vertical="center" wrapText="1"/>
    </xf>
    <xf numFmtId="0" fontId="2" fillId="0" borderId="0" xfId="0" applyFont="1" applyFill="1" applyAlignment="1">
      <alignment vertical="center" wrapText="1"/>
    </xf>
    <xf numFmtId="0" fontId="2" fillId="16" borderId="0" xfId="0" applyFont="1" applyFill="1" applyAlignment="1">
      <alignment vertical="center" wrapText="1"/>
    </xf>
    <xf numFmtId="179" fontId="2" fillId="2" borderId="0" xfId="0" applyNumberFormat="1" applyFont="1" applyFill="1" applyAlignment="1">
      <alignment horizontal="center" vertical="center" wrapText="1"/>
    </xf>
    <xf numFmtId="2" fontId="2" fillId="2" borderId="0" xfId="0" applyNumberFormat="1" applyFont="1" applyFill="1" applyAlignment="1">
      <alignment horizontal="center" vertical="center" wrapText="1"/>
    </xf>
    <xf numFmtId="9" fontId="2" fillId="2" borderId="0" xfId="0" applyNumberFormat="1" applyFont="1" applyFill="1" applyAlignment="1">
      <alignment vertical="center" wrapText="1"/>
    </xf>
    <xf numFmtId="0" fontId="2" fillId="0" borderId="0" xfId="0" applyFont="1" applyFill="1" applyAlignment="1">
      <alignment horizontal="center" vertical="center" wrapText="1"/>
    </xf>
    <xf numFmtId="0" fontId="31" fillId="0" borderId="0" xfId="0" applyFont="1" applyFill="1" applyAlignment="1">
      <alignment horizontal="center" vertical="center" wrapText="1"/>
    </xf>
    <xf numFmtId="0" fontId="2" fillId="0" borderId="26" xfId="0" applyFont="1" applyFill="1" applyBorder="1" applyAlignment="1">
      <alignment horizontal="center" vertical="center" wrapText="1"/>
    </xf>
    <xf numFmtId="193" fontId="2" fillId="0" borderId="26" xfId="18" applyNumberFormat="1" applyFont="1" applyFill="1" applyBorder="1" applyAlignment="1">
      <alignment horizontal="center" vertical="center" wrapText="1"/>
    </xf>
    <xf numFmtId="176" fontId="2" fillId="0" borderId="26"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187" fontId="6" fillId="3" borderId="4" xfId="0" applyNumberFormat="1" applyFont="1" applyFill="1" applyBorder="1" applyAlignment="1">
      <alignment horizontal="center" vertical="center" wrapText="1"/>
    </xf>
    <xf numFmtId="190" fontId="32" fillId="4" borderId="4" xfId="0" applyNumberFormat="1" applyFont="1" applyFill="1" applyBorder="1" applyAlignment="1">
      <alignment horizontal="left" vertical="center" wrapText="1"/>
    </xf>
    <xf numFmtId="190" fontId="32" fillId="4" borderId="4" xfId="0" applyNumberFormat="1" applyFont="1" applyFill="1" applyBorder="1" applyAlignment="1">
      <alignment horizontal="center" vertical="center" wrapText="1"/>
    </xf>
    <xf numFmtId="0" fontId="1" fillId="0" borderId="4" xfId="0" applyFont="1" applyFill="1" applyBorder="1" applyAlignment="1">
      <alignment vertical="center"/>
    </xf>
    <xf numFmtId="0" fontId="1" fillId="0" borderId="4" xfId="0" applyFont="1" applyFill="1" applyBorder="1" applyAlignment="1">
      <alignment horizontal="center" vertical="center"/>
    </xf>
    <xf numFmtId="194" fontId="2" fillId="15" borderId="4" xfId="453" applyNumberFormat="1" applyFont="1" applyFill="1" applyBorder="1" applyAlignment="1">
      <alignment horizontal="center" vertical="center" wrapText="1"/>
    </xf>
    <xf numFmtId="0" fontId="33" fillId="2" borderId="4" xfId="453" applyFont="1" applyFill="1" applyBorder="1" applyAlignment="1">
      <alignment horizontal="center" vertical="center" wrapText="1"/>
    </xf>
    <xf numFmtId="0" fontId="1" fillId="0" borderId="4" xfId="0" applyFont="1" applyFill="1" applyBorder="1" applyAlignment="1">
      <alignment horizontal="left" vertical="center"/>
    </xf>
    <xf numFmtId="207" fontId="2" fillId="0" borderId="4" xfId="453" applyNumberFormat="1" applyFont="1" applyFill="1" applyBorder="1" applyAlignment="1">
      <alignment horizontal="center" vertical="center" wrapText="1"/>
    </xf>
    <xf numFmtId="0" fontId="1" fillId="0" borderId="4" xfId="0" applyFont="1" applyFill="1" applyBorder="1" applyAlignment="1">
      <alignment horizontal="right" vertical="center"/>
    </xf>
    <xf numFmtId="194" fontId="2" fillId="17" borderId="4" xfId="453" applyNumberFormat="1" applyFont="1" applyFill="1" applyBorder="1" applyAlignment="1">
      <alignment horizontal="center" vertical="center" wrapText="1"/>
    </xf>
    <xf numFmtId="207" fontId="2" fillId="17" borderId="4" xfId="453" applyNumberFormat="1" applyFont="1" applyFill="1" applyBorder="1" applyAlignment="1">
      <alignment horizontal="center" vertical="center" wrapText="1"/>
    </xf>
    <xf numFmtId="0" fontId="2" fillId="17" borderId="4" xfId="453" applyFont="1" applyFill="1" applyBorder="1" applyAlignment="1">
      <alignment horizontal="center" vertical="center" wrapText="1"/>
    </xf>
    <xf numFmtId="207" fontId="2" fillId="2" borderId="4" xfId="152" applyNumberFormat="1"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horizontal="center" vertical="center" wrapText="1"/>
    </xf>
    <xf numFmtId="207" fontId="2" fillId="0" borderId="0" xfId="0" applyNumberFormat="1" applyFont="1" applyFill="1" applyAlignment="1">
      <alignment horizontal="center" vertical="center" wrapText="1"/>
    </xf>
    <xf numFmtId="176" fontId="2" fillId="0" borderId="0" xfId="0" applyNumberFormat="1" applyFont="1" applyFill="1" applyBorder="1" applyAlignment="1">
      <alignment horizontal="center" vertical="center" wrapText="1"/>
    </xf>
    <xf numFmtId="215" fontId="6" fillId="3" borderId="12" xfId="0" applyNumberFormat="1" applyFont="1" applyFill="1" applyBorder="1" applyAlignment="1">
      <alignment horizontal="center" vertical="center" wrapText="1"/>
    </xf>
    <xf numFmtId="9" fontId="6" fillId="3" borderId="12" xfId="18" applyFont="1" applyFill="1" applyBorder="1" applyAlignment="1">
      <alignment horizontal="center" vertical="center" wrapText="1"/>
    </xf>
    <xf numFmtId="207" fontId="6" fillId="3" borderId="4" xfId="0" applyNumberFormat="1" applyFont="1" applyFill="1" applyBorder="1" applyAlignment="1">
      <alignment horizontal="center" vertical="center" wrapText="1"/>
    </xf>
    <xf numFmtId="207" fontId="6" fillId="4" borderId="4" xfId="453" applyNumberFormat="1" applyFont="1" applyFill="1" applyBorder="1" applyAlignment="1">
      <alignment horizontal="center" vertical="center" wrapText="1"/>
    </xf>
    <xf numFmtId="9" fontId="6" fillId="4" borderId="4" xfId="18" applyFont="1" applyFill="1" applyBorder="1" applyAlignment="1">
      <alignment horizontal="center" vertical="center" wrapText="1"/>
    </xf>
    <xf numFmtId="2" fontId="5" fillId="4" borderId="4" xfId="453" applyNumberFormat="1" applyFont="1" applyFill="1" applyBorder="1" applyAlignment="1">
      <alignment horizontal="right" vertical="center" wrapText="1"/>
    </xf>
    <xf numFmtId="207" fontId="5" fillId="4" borderId="4" xfId="453" applyNumberFormat="1" applyFont="1" applyFill="1" applyBorder="1" applyAlignment="1">
      <alignment horizontal="center" vertical="center" wrapText="1"/>
    </xf>
    <xf numFmtId="207" fontId="6" fillId="5" borderId="4" xfId="453" applyNumberFormat="1" applyFont="1" applyFill="1" applyBorder="1" applyAlignment="1">
      <alignment horizontal="center" vertical="center" wrapText="1"/>
    </xf>
    <xf numFmtId="9" fontId="6" fillId="5" borderId="4" xfId="18" applyFont="1" applyFill="1" applyBorder="1" applyAlignment="1">
      <alignment horizontal="center" vertical="center" wrapText="1"/>
    </xf>
    <xf numFmtId="2" fontId="6" fillId="5" borderId="4" xfId="453" applyNumberFormat="1" applyFont="1" applyFill="1" applyBorder="1" applyAlignment="1">
      <alignment horizontal="right" vertical="center" wrapText="1"/>
    </xf>
    <xf numFmtId="2" fontId="6" fillId="5" borderId="4" xfId="453" applyNumberFormat="1" applyFont="1" applyFill="1" applyBorder="1" applyAlignment="1">
      <alignment horizontal="center" vertical="center" wrapText="1"/>
    </xf>
    <xf numFmtId="200" fontId="2" fillId="0" borderId="4" xfId="46" applyNumberFormat="1" applyFont="1" applyFill="1" applyBorder="1" applyAlignment="1">
      <alignment horizontal="center" vertical="center" wrapText="1"/>
    </xf>
    <xf numFmtId="9" fontId="2" fillId="0" borderId="4" xfId="18" applyFont="1" applyFill="1" applyBorder="1" applyAlignment="1">
      <alignment horizontal="center" vertical="center" wrapText="1"/>
    </xf>
    <xf numFmtId="2" fontId="2" fillId="0" borderId="4" xfId="453" applyNumberFormat="1" applyFont="1" applyFill="1" applyBorder="1" applyAlignment="1">
      <alignment vertical="center" wrapText="1"/>
    </xf>
    <xf numFmtId="2" fontId="2" fillId="0" borderId="4" xfId="453" applyNumberFormat="1" applyFont="1" applyFill="1" applyBorder="1" applyAlignment="1">
      <alignment horizontal="center" vertical="center" wrapText="1"/>
    </xf>
    <xf numFmtId="207" fontId="2" fillId="0" borderId="4" xfId="46" applyNumberFormat="1" applyFont="1" applyFill="1" applyBorder="1" applyAlignment="1">
      <alignment horizontal="center" vertical="center" wrapText="1"/>
    </xf>
    <xf numFmtId="9" fontId="2" fillId="0" borderId="0" xfId="0" applyNumberFormat="1" applyFont="1" applyFill="1" applyAlignment="1">
      <alignment vertical="center" wrapText="1"/>
    </xf>
    <xf numFmtId="0" fontId="34" fillId="2" borderId="4" xfId="453" applyFont="1" applyFill="1" applyBorder="1" applyAlignment="1">
      <alignment horizontal="center" vertical="center" wrapText="1"/>
    </xf>
    <xf numFmtId="194" fontId="34" fillId="2" borderId="4" xfId="453" applyNumberFormat="1" applyFont="1" applyFill="1" applyBorder="1" applyAlignment="1">
      <alignment horizontal="center" vertical="center" wrapText="1"/>
    </xf>
    <xf numFmtId="0" fontId="2" fillId="17" borderId="4" xfId="453" applyFont="1" applyFill="1" applyBorder="1" applyAlignment="1">
      <alignment horizontal="center" vertical="center"/>
    </xf>
    <xf numFmtId="0" fontId="6" fillId="5" borderId="4" xfId="228" applyFont="1" applyFill="1" applyBorder="1" applyAlignment="1">
      <alignment horizontal="left" vertical="center" wrapText="1"/>
    </xf>
    <xf numFmtId="0" fontId="6" fillId="5" borderId="4" xfId="228" applyFont="1" applyFill="1" applyBorder="1" applyAlignment="1">
      <alignment horizontal="center" vertical="center" wrapText="1"/>
    </xf>
    <xf numFmtId="0" fontId="2" fillId="0" borderId="4" xfId="228" applyFont="1" applyFill="1" applyBorder="1" applyAlignment="1">
      <alignment horizontal="justify" vertical="center" wrapText="1"/>
    </xf>
    <xf numFmtId="0" fontId="2" fillId="0" borderId="4" xfId="228" applyFont="1" applyFill="1" applyBorder="1" applyAlignment="1">
      <alignment horizontal="left" vertical="center" wrapText="1"/>
    </xf>
    <xf numFmtId="0" fontId="2" fillId="0" borderId="4" xfId="228" applyFont="1" applyFill="1" applyBorder="1" applyAlignment="1">
      <alignment horizontal="right" vertical="center" wrapText="1"/>
    </xf>
    <xf numFmtId="206" fontId="34" fillId="2" borderId="4" xfId="453" applyNumberFormat="1" applyFont="1" applyFill="1" applyBorder="1" applyAlignment="1">
      <alignment horizontal="center" vertical="center" wrapText="1"/>
    </xf>
    <xf numFmtId="206" fontId="2" fillId="17" borderId="4" xfId="451" applyNumberFormat="1" applyFont="1" applyFill="1" applyBorder="1" applyAlignment="1">
      <alignment horizontal="center" vertical="center" wrapText="1"/>
    </xf>
    <xf numFmtId="194" fontId="2" fillId="17" borderId="4" xfId="451" applyNumberFormat="1" applyFont="1" applyFill="1" applyBorder="1" applyAlignment="1">
      <alignment horizontal="center" vertical="center" wrapText="1"/>
    </xf>
    <xf numFmtId="203" fontId="34" fillId="2" borderId="4" xfId="453" applyNumberFormat="1" applyFont="1" applyFill="1" applyBorder="1" applyAlignment="1">
      <alignment horizontal="center" vertical="center" wrapText="1"/>
    </xf>
    <xf numFmtId="207" fontId="34" fillId="2" borderId="4" xfId="453" applyNumberFormat="1" applyFont="1" applyFill="1" applyBorder="1" applyAlignment="1">
      <alignment horizontal="center" vertical="center" wrapText="1"/>
    </xf>
    <xf numFmtId="206" fontId="2" fillId="0" borderId="4" xfId="453" applyNumberFormat="1" applyFont="1" applyFill="1" applyBorder="1" applyAlignment="1">
      <alignment vertical="center" wrapText="1"/>
    </xf>
    <xf numFmtId="215" fontId="2" fillId="2" borderId="4" xfId="453" applyNumberFormat="1" applyFont="1" applyFill="1" applyBorder="1" applyAlignment="1">
      <alignment horizontal="center" vertical="center" wrapText="1"/>
    </xf>
    <xf numFmtId="9" fontId="2" fillId="0" borderId="4" xfId="453" applyNumberFormat="1" applyFont="1" applyFill="1" applyBorder="1" applyAlignment="1">
      <alignment horizontal="center" vertical="center" wrapText="1"/>
    </xf>
    <xf numFmtId="207" fontId="6" fillId="0" borderId="4" xfId="453" applyNumberFormat="1" applyFont="1" applyFill="1" applyBorder="1" applyAlignment="1">
      <alignment horizontal="center" vertical="center" wrapText="1"/>
    </xf>
    <xf numFmtId="9" fontId="6" fillId="0" borderId="4" xfId="18" applyFont="1" applyFill="1" applyBorder="1" applyAlignment="1">
      <alignment horizontal="center" vertical="center" wrapText="1"/>
    </xf>
    <xf numFmtId="9" fontId="6" fillId="4" borderId="4" xfId="453" applyNumberFormat="1" applyFont="1" applyFill="1" applyBorder="1" applyAlignment="1">
      <alignment horizontal="center" vertical="center" wrapText="1"/>
    </xf>
    <xf numFmtId="9" fontId="6" fillId="5" borderId="4" xfId="453" applyNumberFormat="1" applyFont="1" applyFill="1" applyBorder="1" applyAlignment="1">
      <alignment horizontal="center" vertical="center" wrapText="1"/>
    </xf>
    <xf numFmtId="9" fontId="2" fillId="17" borderId="4" xfId="453" applyNumberFormat="1" applyFont="1" applyFill="1" applyBorder="1" applyAlignment="1">
      <alignment horizontal="center" vertical="center" wrapText="1"/>
    </xf>
    <xf numFmtId="0" fontId="2" fillId="17" borderId="4" xfId="0" applyFont="1" applyFill="1" applyBorder="1" applyAlignment="1">
      <alignment vertical="center" wrapText="1"/>
    </xf>
    <xf numFmtId="194" fontId="34" fillId="0" borderId="4" xfId="453" applyNumberFormat="1" applyFont="1" applyFill="1" applyBorder="1" applyAlignment="1">
      <alignment horizontal="center" vertical="center" wrapText="1"/>
    </xf>
    <xf numFmtId="203" fontId="2" fillId="17" borderId="4" xfId="451" applyNumberFormat="1" applyFont="1" applyFill="1" applyBorder="1" applyAlignment="1">
      <alignment horizontal="center" vertical="center" wrapText="1"/>
    </xf>
    <xf numFmtId="0" fontId="35" fillId="0" borderId="4" xfId="228" applyFont="1" applyFill="1" applyBorder="1" applyAlignment="1">
      <alignment horizontal="left" vertical="center" wrapText="1"/>
    </xf>
    <xf numFmtId="0" fontId="35" fillId="0" borderId="4" xfId="228" applyFont="1" applyFill="1" applyBorder="1" applyAlignment="1">
      <alignment horizontal="right" vertical="center" wrapText="1"/>
    </xf>
    <xf numFmtId="0" fontId="2" fillId="0" borderId="4" xfId="453" applyFont="1" applyFill="1" applyBorder="1" applyAlignment="1">
      <alignment horizontal="left" vertical="center"/>
    </xf>
    <xf numFmtId="0" fontId="6" fillId="18" borderId="4" xfId="453" applyFont="1" applyFill="1" applyBorder="1" applyAlignment="1">
      <alignment horizontal="left" vertical="center" wrapText="1"/>
    </xf>
    <xf numFmtId="0" fontId="6" fillId="18" borderId="4" xfId="453" applyFont="1" applyFill="1" applyBorder="1" applyAlignment="1">
      <alignment horizontal="center" vertical="center" wrapText="1"/>
    </xf>
    <xf numFmtId="194" fontId="6" fillId="18" borderId="4" xfId="453" applyNumberFormat="1" applyFont="1" applyFill="1" applyBorder="1" applyAlignment="1">
      <alignment horizontal="center" vertical="center" wrapText="1"/>
    </xf>
    <xf numFmtId="203" fontId="2" fillId="0" borderId="4" xfId="451" applyNumberFormat="1" applyFont="1" applyFill="1" applyBorder="1" applyAlignment="1">
      <alignment horizontal="center" vertical="center" wrapText="1"/>
    </xf>
    <xf numFmtId="207" fontId="6" fillId="18" borderId="4" xfId="453" applyNumberFormat="1" applyFont="1" applyFill="1" applyBorder="1" applyAlignment="1">
      <alignment horizontal="center" vertical="center" wrapText="1"/>
    </xf>
    <xf numFmtId="9" fontId="6" fillId="18" borderId="4" xfId="453" applyNumberFormat="1" applyFont="1" applyFill="1" applyBorder="1" applyAlignment="1">
      <alignment horizontal="center" vertical="center" wrapText="1"/>
    </xf>
    <xf numFmtId="2" fontId="6" fillId="18" borderId="4" xfId="453" applyNumberFormat="1" applyFont="1" applyFill="1" applyBorder="1" applyAlignment="1">
      <alignment horizontal="center" vertical="center" wrapText="1"/>
    </xf>
    <xf numFmtId="0" fontId="2" fillId="18" borderId="4" xfId="0" applyFont="1" applyFill="1" applyBorder="1" applyAlignment="1">
      <alignment vertical="center" wrapText="1"/>
    </xf>
    <xf numFmtId="9" fontId="6" fillId="0" borderId="4" xfId="453" applyNumberFormat="1" applyFont="1" applyFill="1" applyBorder="1" applyAlignment="1">
      <alignment horizontal="center" vertical="center" wrapText="1"/>
    </xf>
    <xf numFmtId="0" fontId="2" fillId="2" borderId="0" xfId="0" applyFont="1" applyFill="1" applyBorder="1" applyAlignment="1">
      <alignment horizontal="center" vertical="center" wrapText="1"/>
    </xf>
    <xf numFmtId="9" fontId="2" fillId="2" borderId="0" xfId="18" applyFont="1" applyFill="1" applyBorder="1" applyAlignment="1">
      <alignment horizontal="center" vertical="center" wrapText="1"/>
    </xf>
    <xf numFmtId="219" fontId="2" fillId="2" borderId="0" xfId="0" applyNumberFormat="1" applyFont="1" applyFill="1" applyAlignment="1">
      <alignment vertical="center" wrapText="1"/>
    </xf>
    <xf numFmtId="2" fontId="2" fillId="0" borderId="26" xfId="0" applyNumberFormat="1" applyFont="1" applyFill="1" applyBorder="1" applyAlignment="1">
      <alignment horizontal="center" vertical="center" wrapText="1"/>
    </xf>
    <xf numFmtId="206" fontId="5" fillId="4" borderId="4" xfId="453" applyNumberFormat="1" applyFont="1" applyFill="1" applyBorder="1" applyAlignment="1">
      <alignment horizontal="center" vertical="center" wrapText="1"/>
    </xf>
    <xf numFmtId="207" fontId="2" fillId="13" borderId="4" xfId="453" applyNumberFormat="1" applyFont="1" applyFill="1" applyBorder="1" applyAlignment="1">
      <alignment horizontal="center" vertical="center" wrapText="1"/>
    </xf>
    <xf numFmtId="0" fontId="2" fillId="0" borderId="0" xfId="0" applyFont="1" applyFill="1" applyBorder="1" applyAlignment="1">
      <alignment horizontal="left" vertical="center" wrapText="1"/>
    </xf>
    <xf numFmtId="207" fontId="6" fillId="5" borderId="4" xfId="0" applyNumberFormat="1" applyFont="1" applyFill="1" applyBorder="1" applyAlignment="1">
      <alignment horizontal="center" vertical="center" wrapText="1"/>
    </xf>
    <xf numFmtId="9" fontId="5" fillId="4" borderId="4" xfId="453" applyNumberFormat="1" applyFont="1" applyFill="1" applyBorder="1" applyAlignment="1">
      <alignment horizontal="center" vertical="center" wrapText="1"/>
    </xf>
    <xf numFmtId="207" fontId="2" fillId="17" borderId="4" xfId="0" applyNumberFormat="1" applyFont="1" applyFill="1" applyBorder="1" applyAlignment="1">
      <alignment horizontal="center" vertical="center" wrapText="1"/>
    </xf>
    <xf numFmtId="9" fontId="34" fillId="0" borderId="4" xfId="453" applyNumberFormat="1" applyFont="1" applyFill="1" applyBorder="1" applyAlignment="1">
      <alignment horizontal="center" vertical="center" wrapText="1"/>
    </xf>
    <xf numFmtId="2" fontId="6" fillId="0" borderId="4" xfId="453" applyNumberFormat="1" applyFont="1" applyFill="1" applyBorder="1" applyAlignment="1">
      <alignment vertical="center" wrapText="1"/>
    </xf>
    <xf numFmtId="9" fontId="2" fillId="0" borderId="4" xfId="46" applyNumberFormat="1" applyFont="1" applyFill="1" applyBorder="1" applyAlignment="1">
      <alignment horizontal="center" vertical="center" wrapText="1"/>
    </xf>
    <xf numFmtId="0" fontId="34" fillId="0" borderId="4" xfId="453" applyFont="1" applyFill="1" applyBorder="1" applyAlignment="1">
      <alignment horizontal="center" vertical="center" wrapText="1"/>
    </xf>
    <xf numFmtId="2" fontId="6" fillId="18" borderId="4" xfId="453" applyNumberFormat="1" applyFont="1" applyFill="1" applyBorder="1" applyAlignment="1">
      <alignment horizontal="right" vertical="center" wrapText="1"/>
    </xf>
    <xf numFmtId="207" fontId="6" fillId="18" borderId="4" xfId="0" applyNumberFormat="1" applyFont="1" applyFill="1" applyBorder="1" applyAlignment="1">
      <alignment horizontal="center" vertical="center" wrapText="1"/>
    </xf>
    <xf numFmtId="0" fontId="2" fillId="2" borderId="0" xfId="0" applyNumberFormat="1" applyFont="1" applyFill="1" applyAlignment="1">
      <alignment horizontal="center" vertical="center" wrapText="1"/>
    </xf>
    <xf numFmtId="2" fontId="2" fillId="2" borderId="4" xfId="0" applyNumberFormat="1" applyFont="1" applyFill="1" applyBorder="1" applyAlignment="1">
      <alignment horizontal="center" vertical="center" wrapText="1"/>
    </xf>
    <xf numFmtId="206" fontId="2" fillId="2" borderId="0" xfId="0" applyNumberFormat="1" applyFont="1" applyFill="1" applyAlignment="1">
      <alignment horizontal="center" vertical="center" wrapText="1"/>
    </xf>
    <xf numFmtId="10" fontId="2" fillId="2" borderId="4" xfId="18" applyNumberFormat="1" applyFont="1" applyFill="1" applyBorder="1" applyAlignment="1">
      <alignment horizontal="center" vertical="center" wrapText="1"/>
    </xf>
    <xf numFmtId="0" fontId="31" fillId="2" borderId="0" xfId="0" applyFont="1" applyFill="1" applyAlignment="1">
      <alignment horizontal="center" vertical="center" wrapText="1"/>
    </xf>
    <xf numFmtId="0" fontId="2" fillId="19" borderId="0" xfId="0" applyFont="1" applyFill="1" applyAlignment="1">
      <alignment vertical="center" wrapText="1"/>
    </xf>
    <xf numFmtId="207" fontId="2" fillId="20" borderId="4" xfId="453" applyNumberFormat="1" applyFont="1" applyFill="1" applyBorder="1" applyAlignment="1">
      <alignment horizontal="center" vertical="center" wrapText="1"/>
    </xf>
    <xf numFmtId="0" fontId="33" fillId="0" borderId="4" xfId="453" applyFont="1" applyFill="1" applyBorder="1" applyAlignment="1">
      <alignment horizontal="center" vertical="center" wrapText="1"/>
    </xf>
    <xf numFmtId="206" fontId="34" fillId="0" borderId="4" xfId="453" applyNumberFormat="1" applyFont="1" applyFill="1" applyBorder="1" applyAlignment="1">
      <alignment horizontal="center" vertical="center" wrapText="1"/>
    </xf>
    <xf numFmtId="2" fontId="34" fillId="0" borderId="4" xfId="453" applyNumberFormat="1" applyFont="1" applyFill="1" applyBorder="1" applyAlignment="1">
      <alignment horizontal="center" vertical="center" wrapText="1"/>
    </xf>
    <xf numFmtId="2" fontId="2" fillId="2" borderId="0" xfId="0" applyNumberFormat="1" applyFont="1" applyFill="1" applyBorder="1" applyAlignment="1">
      <alignment horizontal="center" vertical="center" wrapText="1"/>
    </xf>
    <xf numFmtId="207" fontId="2" fillId="0" borderId="4" xfId="152" applyNumberFormat="1" applyFont="1" applyFill="1" applyBorder="1" applyAlignment="1">
      <alignment horizontal="center" vertical="center" wrapText="1"/>
    </xf>
    <xf numFmtId="207" fontId="2" fillId="20" borderId="4" xfId="152" applyNumberFormat="1" applyFont="1" applyFill="1" applyBorder="1" applyAlignment="1">
      <alignment horizontal="center" vertical="center" wrapText="1"/>
    </xf>
    <xf numFmtId="207" fontId="6" fillId="13" borderId="4" xfId="453" applyNumberFormat="1" applyFont="1" applyFill="1" applyBorder="1" applyAlignment="1">
      <alignment horizontal="center" vertical="center" wrapText="1"/>
    </xf>
    <xf numFmtId="206" fontId="2" fillId="17" borderId="4" xfId="453" applyNumberFormat="1" applyFont="1" applyFill="1" applyBorder="1" applyAlignment="1">
      <alignment horizontal="center" vertical="center" wrapText="1"/>
    </xf>
    <xf numFmtId="0" fontId="2" fillId="2" borderId="0" xfId="0" applyFont="1" applyFill="1" applyAlignment="1">
      <alignment horizontal="left" vertical="center" wrapText="1"/>
    </xf>
    <xf numFmtId="0" fontId="31" fillId="0" borderId="0" xfId="0" applyFont="1" applyFill="1" applyAlignment="1">
      <alignment horizontal="left" vertical="center" wrapText="1"/>
    </xf>
    <xf numFmtId="0" fontId="6" fillId="3" borderId="4" xfId="0" applyFont="1" applyFill="1" applyBorder="1" applyAlignment="1">
      <alignment horizontal="left" vertical="center" wrapText="1"/>
    </xf>
    <xf numFmtId="0" fontId="1" fillId="13" borderId="4" xfId="0" applyFont="1" applyFill="1" applyBorder="1" applyAlignment="1">
      <alignment horizontal="left" vertical="center"/>
    </xf>
    <xf numFmtId="207" fontId="2" fillId="21" borderId="4" xfId="453" applyNumberFormat="1" applyFont="1" applyFill="1" applyBorder="1" applyAlignment="1">
      <alignment horizontal="center" vertical="center" wrapText="1"/>
    </xf>
    <xf numFmtId="2" fontId="6" fillId="13" borderId="4" xfId="453" applyNumberFormat="1" applyFont="1" applyFill="1" applyBorder="1" applyAlignment="1">
      <alignment horizontal="center" vertical="center" wrapText="1"/>
    </xf>
    <xf numFmtId="0" fontId="2" fillId="2" borderId="0" xfId="0" applyFont="1" applyFill="1" applyAlignment="1">
      <alignment vertical="center"/>
    </xf>
    <xf numFmtId="0" fontId="2" fillId="0" borderId="0" xfId="0" applyFont="1" applyFill="1" applyAlignment="1">
      <alignment vertical="center"/>
    </xf>
    <xf numFmtId="0" fontId="2" fillId="16" borderId="0" xfId="0" applyFont="1" applyFill="1" applyAlignment="1">
      <alignment vertical="center"/>
    </xf>
    <xf numFmtId="0" fontId="36" fillId="0" borderId="0" xfId="228" applyFont="1" applyAlignment="1">
      <alignment vertical="center" wrapText="1"/>
    </xf>
    <xf numFmtId="0" fontId="34" fillId="16" borderId="0" xfId="0" applyFont="1" applyFill="1" applyAlignment="1">
      <alignment vertical="center"/>
    </xf>
    <xf numFmtId="190" fontId="2" fillId="2" borderId="0" xfId="0" applyNumberFormat="1" applyFont="1" applyFill="1" applyAlignment="1">
      <alignment horizontal="center" vertical="center" wrapText="1"/>
    </xf>
    <xf numFmtId="190" fontId="2" fillId="0" borderId="0" xfId="0" applyNumberFormat="1" applyFont="1" applyFill="1" applyAlignment="1">
      <alignment horizontal="center" vertical="center" wrapText="1"/>
    </xf>
    <xf numFmtId="0" fontId="0" fillId="0" borderId="0" xfId="0" applyFont="1" applyFill="1" applyAlignment="1">
      <alignment vertical="center"/>
    </xf>
    <xf numFmtId="0" fontId="0" fillId="17" borderId="0" xfId="0" applyFill="1" applyAlignment="1">
      <alignment vertical="center"/>
    </xf>
    <xf numFmtId="0" fontId="37" fillId="2" borderId="0" xfId="0" applyNumberFormat="1" applyFont="1" applyFill="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2" borderId="0" xfId="0" applyFill="1" applyAlignment="1">
      <alignment horizontal="right" vertical="center"/>
    </xf>
    <xf numFmtId="0" fontId="0" fillId="2" borderId="0" xfId="0" applyFill="1" applyAlignment="1">
      <alignment vertical="center" wrapText="1"/>
    </xf>
    <xf numFmtId="0" fontId="0" fillId="0" borderId="0" xfId="0" applyFill="1" applyAlignment="1">
      <alignment vertical="center"/>
    </xf>
    <xf numFmtId="187" fontId="38" fillId="17" borderId="0" xfId="0" applyNumberFormat="1" applyFont="1" applyFill="1" applyBorder="1" applyAlignment="1">
      <alignment horizontal="center" vertical="center" wrapText="1"/>
    </xf>
    <xf numFmtId="0" fontId="2" fillId="17" borderId="0" xfId="0" applyFont="1" applyFill="1" applyAlignment="1">
      <alignment vertical="center"/>
    </xf>
    <xf numFmtId="0" fontId="32" fillId="4" borderId="4" xfId="0" applyNumberFormat="1" applyFont="1" applyFill="1" applyBorder="1" applyAlignment="1">
      <alignment horizontal="left" vertical="center" wrapText="1"/>
    </xf>
    <xf numFmtId="0" fontId="32" fillId="4" borderId="4" xfId="0" applyNumberFormat="1"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NumberFormat="1" applyFont="1" applyFill="1" applyBorder="1" applyAlignment="1">
      <alignment horizontal="left" vertical="center" wrapText="1"/>
    </xf>
    <xf numFmtId="0" fontId="6" fillId="5" borderId="4" xfId="0" applyNumberFormat="1" applyFont="1" applyFill="1" applyBorder="1" applyAlignment="1">
      <alignment horizontal="center" vertical="center" wrapText="1"/>
    </xf>
    <xf numFmtId="190" fontId="6" fillId="5" borderId="4" xfId="0" applyNumberFormat="1" applyFont="1" applyFill="1" applyBorder="1" applyAlignment="1">
      <alignment horizontal="left" vertical="center" wrapText="1"/>
    </xf>
    <xf numFmtId="0" fontId="35" fillId="15" borderId="4" xfId="228" applyFont="1" applyFill="1" applyBorder="1" applyAlignment="1">
      <alignment horizontal="justify" vertical="center" wrapText="1"/>
    </xf>
    <xf numFmtId="0" fontId="35" fillId="15" borderId="4" xfId="228" applyFont="1" applyFill="1" applyBorder="1" applyAlignment="1">
      <alignment horizontal="center" vertical="center" wrapText="1"/>
    </xf>
    <xf numFmtId="0" fontId="2" fillId="15" borderId="4" xfId="0" applyFont="1" applyFill="1" applyBorder="1" applyAlignment="1">
      <alignment horizontal="center" vertical="center" wrapText="1"/>
    </xf>
    <xf numFmtId="0" fontId="6" fillId="15" borderId="4" xfId="0" applyFont="1" applyFill="1" applyBorder="1" applyAlignment="1">
      <alignment horizontal="center" vertical="center" wrapText="1"/>
    </xf>
    <xf numFmtId="0" fontId="34" fillId="17" borderId="4" xfId="228" applyNumberFormat="1" applyFont="1" applyFill="1" applyBorder="1" applyAlignment="1" applyProtection="1">
      <alignment horizontal="left" vertical="center"/>
    </xf>
    <xf numFmtId="0" fontId="6" fillId="17" borderId="4" xfId="0" applyFont="1" applyFill="1" applyBorder="1" applyAlignment="1">
      <alignment horizontal="center" vertical="center" wrapText="1"/>
    </xf>
    <xf numFmtId="0" fontId="39" fillId="17" borderId="3" xfId="228" applyNumberFormat="1" applyFont="1" applyFill="1" applyBorder="1" applyAlignment="1" applyProtection="1">
      <alignment horizontal="center" vertical="center"/>
    </xf>
    <xf numFmtId="0" fontId="39" fillId="17" borderId="20" xfId="228" applyNumberFormat="1" applyFont="1" applyFill="1" applyBorder="1" applyAlignment="1" applyProtection="1">
      <alignment horizontal="center" vertical="center"/>
    </xf>
    <xf numFmtId="0" fontId="10" fillId="17" borderId="4" xfId="228" applyNumberFormat="1" applyFont="1" applyFill="1" applyBorder="1" applyAlignment="1" applyProtection="1">
      <alignment horizontal="left" vertical="center"/>
    </xf>
    <xf numFmtId="0" fontId="10" fillId="17" borderId="4" xfId="228" applyNumberFormat="1" applyFont="1" applyFill="1" applyBorder="1" applyAlignment="1" applyProtection="1">
      <alignment horizontal="center" vertical="center"/>
    </xf>
    <xf numFmtId="0" fontId="6" fillId="5" borderId="4" xfId="0" applyNumberFormat="1" applyFont="1" applyFill="1" applyBorder="1" applyAlignment="1">
      <alignment vertical="center" wrapText="1"/>
    </xf>
    <xf numFmtId="187" fontId="6" fillId="5" borderId="4" xfId="0" applyNumberFormat="1" applyFont="1" applyFill="1" applyBorder="1" applyAlignment="1">
      <alignment vertical="center" wrapText="1"/>
    </xf>
    <xf numFmtId="0" fontId="35" fillId="15" borderId="4" xfId="128" applyFont="1" applyFill="1" applyBorder="1" applyAlignment="1">
      <alignment horizontal="justify" vertical="center" wrapText="1"/>
    </xf>
    <xf numFmtId="0" fontId="35" fillId="17" borderId="4" xfId="228" applyFont="1" applyFill="1" applyBorder="1" applyAlignment="1">
      <alignment vertical="center" wrapText="1"/>
    </xf>
    <xf numFmtId="0" fontId="2" fillId="17" borderId="4" xfId="0" applyFont="1" applyFill="1" applyBorder="1" applyAlignment="1">
      <alignment horizontal="center" vertical="center" wrapText="1"/>
    </xf>
    <xf numFmtId="0" fontId="2" fillId="15" borderId="4" xfId="228" applyFont="1" applyFill="1" applyBorder="1" applyAlignment="1">
      <alignment horizontal="justify" vertical="center" wrapText="1"/>
    </xf>
    <xf numFmtId="0" fontId="2" fillId="15" borderId="4" xfId="128" applyFont="1" applyFill="1" applyBorder="1" applyAlignment="1">
      <alignment horizontal="justify" vertical="center" wrapText="1"/>
    </xf>
    <xf numFmtId="187" fontId="6" fillId="5" borderId="4" xfId="0" applyNumberFormat="1" applyFont="1" applyFill="1" applyBorder="1" applyAlignment="1">
      <alignment vertical="center"/>
    </xf>
    <xf numFmtId="0" fontId="2" fillId="17" borderId="4" xfId="0" applyFont="1" applyFill="1" applyBorder="1" applyAlignment="1">
      <alignment horizontal="left" vertical="center" wrapText="1"/>
    </xf>
    <xf numFmtId="187" fontId="40" fillId="17" borderId="1" xfId="0" applyNumberFormat="1" applyFont="1" applyFill="1" applyBorder="1" applyAlignment="1">
      <alignment horizontal="center" vertical="center" wrapText="1"/>
    </xf>
    <xf numFmtId="190" fontId="41" fillId="17" borderId="2" xfId="0" applyNumberFormat="1" applyFont="1" applyFill="1" applyBorder="1" applyAlignment="1">
      <alignment horizontal="center" vertical="center" wrapText="1"/>
    </xf>
    <xf numFmtId="187" fontId="40" fillId="17" borderId="13" xfId="0" applyNumberFormat="1" applyFont="1" applyFill="1" applyBorder="1" applyAlignment="1">
      <alignment horizontal="center" vertical="center" wrapText="1"/>
    </xf>
    <xf numFmtId="187" fontId="40" fillId="17" borderId="3" xfId="0" applyNumberFormat="1" applyFont="1" applyFill="1" applyBorder="1" applyAlignment="1">
      <alignment horizontal="center" vertical="center" wrapText="1"/>
    </xf>
    <xf numFmtId="190" fontId="41" fillId="17" borderId="4" xfId="0" applyNumberFormat="1" applyFont="1" applyFill="1" applyBorder="1" applyAlignment="1">
      <alignment horizontal="center" vertical="center" wrapText="1"/>
    </xf>
    <xf numFmtId="187" fontId="40" fillId="17" borderId="5" xfId="0" applyNumberFormat="1" applyFont="1" applyFill="1" applyBorder="1" applyAlignment="1">
      <alignment horizontal="center" vertical="center" wrapText="1"/>
    </xf>
    <xf numFmtId="187" fontId="42" fillId="3" borderId="2" xfId="0" applyNumberFormat="1" applyFont="1" applyFill="1" applyBorder="1" applyAlignment="1">
      <alignment horizontal="center" vertical="center" wrapText="1"/>
    </xf>
    <xf numFmtId="187" fontId="6" fillId="3" borderId="28" xfId="0" applyNumberFormat="1" applyFont="1" applyFill="1" applyBorder="1" applyAlignment="1">
      <alignment horizontal="center" vertical="center" wrapText="1"/>
    </xf>
    <xf numFmtId="187" fontId="42" fillId="3" borderId="12" xfId="0" applyNumberFormat="1" applyFont="1" applyFill="1" applyBorder="1" applyAlignment="1">
      <alignment horizontal="center" vertical="center" wrapText="1"/>
    </xf>
    <xf numFmtId="187" fontId="6" fillId="3" borderId="12" xfId="0" applyNumberFormat="1" applyFont="1" applyFill="1" applyBorder="1" applyAlignment="1">
      <alignment horizontal="center" vertical="center" wrapText="1"/>
    </xf>
    <xf numFmtId="187" fontId="42" fillId="3" borderId="4" xfId="0" applyNumberFormat="1" applyFont="1" applyFill="1" applyBorder="1" applyAlignment="1">
      <alignment horizontal="center" vertical="center" wrapText="1"/>
    </xf>
    <xf numFmtId="187" fontId="6" fillId="3" borderId="5" xfId="0" applyNumberFormat="1" applyFont="1" applyFill="1" applyBorder="1" applyAlignment="1">
      <alignment horizontal="center" vertical="center" wrapText="1"/>
    </xf>
    <xf numFmtId="190" fontId="6" fillId="4" borderId="4" xfId="0" applyNumberFormat="1" applyFont="1" applyFill="1" applyBorder="1" applyAlignment="1">
      <alignment horizontal="center" vertical="center" wrapText="1"/>
    </xf>
    <xf numFmtId="190" fontId="2" fillId="4" borderId="4" xfId="0" applyNumberFormat="1" applyFont="1" applyFill="1" applyBorder="1" applyAlignment="1">
      <alignment horizontal="center" vertical="center"/>
    </xf>
    <xf numFmtId="190" fontId="2" fillId="4" borderId="5" xfId="0" applyNumberFormat="1" applyFont="1" applyFill="1" applyBorder="1" applyAlignment="1">
      <alignment horizontal="center" vertical="center"/>
    </xf>
    <xf numFmtId="190" fontId="2" fillId="5" borderId="4" xfId="0" applyNumberFormat="1" applyFont="1" applyFill="1" applyBorder="1" applyAlignment="1">
      <alignment horizontal="center" vertical="center" wrapText="1"/>
    </xf>
    <xf numFmtId="190" fontId="2" fillId="5" borderId="5" xfId="0" applyNumberFormat="1" applyFont="1" applyFill="1" applyBorder="1" applyAlignment="1">
      <alignment horizontal="center" vertical="center" wrapText="1"/>
    </xf>
    <xf numFmtId="0" fontId="6" fillId="0" borderId="4" xfId="0" applyFont="1" applyFill="1" applyBorder="1" applyAlignment="1">
      <alignment horizontal="center" vertical="center" wrapText="1"/>
    </xf>
    <xf numFmtId="190" fontId="2" fillId="15" borderId="4" xfId="0" applyNumberFormat="1" applyFont="1" applyFill="1" applyBorder="1" applyAlignment="1">
      <alignment horizontal="center" vertical="center" wrapText="1"/>
    </xf>
    <xf numFmtId="190" fontId="2" fillId="15" borderId="5" xfId="0" applyNumberFormat="1" applyFont="1" applyFill="1" applyBorder="1" applyAlignment="1">
      <alignment horizontal="center" vertical="center" wrapText="1"/>
    </xf>
    <xf numFmtId="9" fontId="2" fillId="0" borderId="4" xfId="0" applyNumberFormat="1" applyFont="1" applyFill="1" applyBorder="1" applyAlignment="1">
      <alignment horizontal="center" vertical="center"/>
    </xf>
    <xf numFmtId="0" fontId="2" fillId="0" borderId="4" xfId="0" applyFont="1" applyFill="1" applyBorder="1" applyAlignment="1">
      <alignment vertical="center"/>
    </xf>
    <xf numFmtId="9" fontId="6" fillId="5" borderId="4" xfId="0" applyNumberFormat="1" applyFont="1" applyFill="1" applyBorder="1" applyAlignment="1">
      <alignment horizontal="center" vertical="center" wrapText="1"/>
    </xf>
    <xf numFmtId="9" fontId="6" fillId="15" borderId="4" xfId="0" applyNumberFormat="1" applyFont="1" applyFill="1" applyBorder="1" applyAlignment="1">
      <alignment horizontal="center" vertical="center" wrapText="1"/>
    </xf>
    <xf numFmtId="190" fontId="2" fillId="17" borderId="4" xfId="0" applyNumberFormat="1" applyFont="1" applyFill="1" applyBorder="1" applyAlignment="1">
      <alignment horizontal="center" vertical="center" wrapText="1"/>
    </xf>
    <xf numFmtId="190" fontId="2" fillId="17" borderId="5" xfId="0" applyNumberFormat="1" applyFont="1" applyFill="1" applyBorder="1" applyAlignment="1">
      <alignment horizontal="center" vertical="center" wrapText="1"/>
    </xf>
    <xf numFmtId="0" fontId="10" fillId="17" borderId="4" xfId="228" applyNumberFormat="1" applyFont="1" applyFill="1" applyBorder="1" applyAlignment="1" applyProtection="1">
      <alignment horizontal="center" vertical="top"/>
    </xf>
    <xf numFmtId="0" fontId="10" fillId="17" borderId="5" xfId="228" applyNumberFormat="1" applyFont="1" applyFill="1" applyBorder="1" applyAlignment="1" applyProtection="1">
      <alignment horizontal="center" vertical="top"/>
    </xf>
    <xf numFmtId="187" fontId="6" fillId="5" borderId="4" xfId="0" applyNumberFormat="1" applyFont="1" applyFill="1" applyBorder="1" applyAlignment="1">
      <alignment horizontal="center" vertical="center" wrapText="1"/>
    </xf>
    <xf numFmtId="187" fontId="2" fillId="15" borderId="4" xfId="0" applyNumberFormat="1" applyFont="1" applyFill="1" applyBorder="1" applyAlignment="1">
      <alignment horizontal="center" vertical="center" wrapText="1"/>
    </xf>
    <xf numFmtId="190" fontId="6" fillId="15" borderId="4" xfId="0" applyNumberFormat="1" applyFont="1" applyFill="1" applyBorder="1" applyAlignment="1">
      <alignment horizontal="center" vertical="center" wrapText="1"/>
    </xf>
    <xf numFmtId="190" fontId="6" fillId="15" borderId="5" xfId="0" applyNumberFormat="1" applyFont="1" applyFill="1" applyBorder="1" applyAlignment="1">
      <alignment horizontal="center" vertical="center" wrapText="1"/>
    </xf>
    <xf numFmtId="2" fontId="2" fillId="0" borderId="4" xfId="0" applyNumberFormat="1" applyFont="1" applyFill="1" applyBorder="1" applyAlignment="1">
      <alignment horizontal="center" vertical="center" wrapText="1"/>
    </xf>
    <xf numFmtId="187" fontId="2" fillId="0" borderId="4" xfId="0" applyNumberFormat="1" applyFont="1" applyFill="1" applyBorder="1" applyAlignment="1">
      <alignment horizontal="center" vertical="center" wrapText="1"/>
    </xf>
    <xf numFmtId="2" fontId="2" fillId="15" borderId="4" xfId="0" applyNumberFormat="1" applyFont="1" applyFill="1" applyBorder="1" applyAlignment="1">
      <alignment horizontal="center" vertical="center"/>
    </xf>
    <xf numFmtId="190" fontId="6" fillId="17" borderId="4" xfId="0" applyNumberFormat="1" applyFont="1" applyFill="1" applyBorder="1" applyAlignment="1">
      <alignment horizontal="center" vertical="center" wrapText="1"/>
    </xf>
    <xf numFmtId="190" fontId="6" fillId="17" borderId="5" xfId="0" applyNumberFormat="1" applyFont="1" applyFill="1" applyBorder="1" applyAlignment="1">
      <alignment horizontal="center" vertical="center" wrapText="1"/>
    </xf>
    <xf numFmtId="187" fontId="2" fillId="17" borderId="4" xfId="0" applyNumberFormat="1" applyFont="1" applyFill="1" applyBorder="1" applyAlignment="1">
      <alignment horizontal="center" vertical="center" wrapText="1"/>
    </xf>
    <xf numFmtId="2" fontId="6" fillId="15" borderId="4" xfId="0" applyNumberFormat="1" applyFont="1" applyFill="1" applyBorder="1" applyAlignment="1">
      <alignment horizontal="center" vertical="center"/>
    </xf>
    <xf numFmtId="9" fontId="2" fillId="0" borderId="4" xfId="0" applyNumberFormat="1" applyFont="1" applyFill="1" applyBorder="1" applyAlignment="1">
      <alignment horizontal="center" vertical="center" wrapText="1"/>
    </xf>
    <xf numFmtId="0" fontId="43" fillId="2" borderId="4" xfId="0" applyFont="1" applyFill="1" applyBorder="1" applyAlignment="1">
      <alignment horizontal="center" vertical="center"/>
    </xf>
    <xf numFmtId="215" fontId="42" fillId="17" borderId="4" xfId="0" applyNumberFormat="1" applyFont="1" applyFill="1" applyBorder="1" applyAlignment="1">
      <alignment horizontal="center" vertical="center" wrapText="1"/>
    </xf>
    <xf numFmtId="215" fontId="42" fillId="17" borderId="0" xfId="0" applyNumberFormat="1" applyFont="1" applyFill="1" applyBorder="1" applyAlignment="1">
      <alignment horizontal="center" vertical="center" wrapText="1"/>
    </xf>
    <xf numFmtId="0" fontId="0" fillId="2" borderId="0" xfId="0" applyFill="1" applyBorder="1" applyAlignment="1">
      <alignment horizontal="right" vertical="center"/>
    </xf>
    <xf numFmtId="10" fontId="42" fillId="17" borderId="4" xfId="0" applyNumberFormat="1" applyFont="1" applyFill="1" applyBorder="1" applyAlignment="1">
      <alignment horizontal="center" vertical="center" wrapText="1"/>
    </xf>
    <xf numFmtId="10" fontId="42" fillId="17" borderId="0" xfId="0" applyNumberFormat="1" applyFont="1" applyFill="1" applyBorder="1" applyAlignment="1">
      <alignment horizontal="center" vertical="center" wrapText="1"/>
    </xf>
    <xf numFmtId="186" fontId="42" fillId="5" borderId="4" xfId="14" applyNumberFormat="1" applyFont="1" applyFill="1" applyBorder="1" applyAlignment="1">
      <alignment horizontal="center" vertical="center" wrapText="1"/>
    </xf>
    <xf numFmtId="190" fontId="6" fillId="4" borderId="3" xfId="0" applyNumberFormat="1" applyFont="1" applyFill="1" applyBorder="1" applyAlignment="1">
      <alignment horizontal="center" vertical="center" wrapText="1"/>
    </xf>
    <xf numFmtId="190" fontId="2" fillId="5" borderId="3" xfId="0" applyNumberFormat="1" applyFont="1" applyFill="1" applyBorder="1" applyAlignment="1">
      <alignment horizontal="center" vertical="center" wrapText="1"/>
    </xf>
    <xf numFmtId="187" fontId="2" fillId="17" borderId="3" xfId="0" applyNumberFormat="1" applyFont="1" applyFill="1" applyBorder="1" applyAlignment="1">
      <alignment horizontal="center" vertical="center"/>
    </xf>
    <xf numFmtId="190" fontId="2" fillId="15" borderId="3" xfId="0" applyNumberFormat="1" applyFont="1" applyFill="1" applyBorder="1" applyAlignment="1">
      <alignment horizontal="center" vertical="center"/>
    </xf>
    <xf numFmtId="190" fontId="2" fillId="15" borderId="20" xfId="0" applyNumberFormat="1" applyFont="1" applyFill="1" applyBorder="1" applyAlignment="1">
      <alignment horizontal="center" vertical="center"/>
    </xf>
    <xf numFmtId="190" fontId="2" fillId="15" borderId="4" xfId="0" applyNumberFormat="1" applyFont="1" applyFill="1" applyBorder="1" applyAlignment="1">
      <alignment horizontal="center" vertical="center"/>
    </xf>
    <xf numFmtId="190" fontId="2" fillId="15" borderId="5" xfId="0" applyNumberFormat="1" applyFont="1" applyFill="1" applyBorder="1" applyAlignment="1">
      <alignment horizontal="center" vertical="center"/>
    </xf>
    <xf numFmtId="190" fontId="2" fillId="15" borderId="7" xfId="0" applyNumberFormat="1" applyFont="1" applyFill="1" applyBorder="1" applyAlignment="1">
      <alignment horizontal="center" vertical="center"/>
    </xf>
    <xf numFmtId="190" fontId="2" fillId="15" borderId="3" xfId="0" applyNumberFormat="1" applyFont="1" applyFill="1" applyBorder="1" applyAlignment="1">
      <alignment horizontal="center" vertical="center" wrapText="1"/>
    </xf>
    <xf numFmtId="190" fontId="2" fillId="17" borderId="3" xfId="0" applyNumberFormat="1" applyFont="1" applyFill="1" applyBorder="1" applyAlignment="1">
      <alignment horizontal="center" vertical="center"/>
    </xf>
    <xf numFmtId="190" fontId="2" fillId="17" borderId="4" xfId="0" applyNumberFormat="1" applyFont="1" applyFill="1" applyBorder="1" applyAlignment="1">
      <alignment horizontal="center" vertical="center"/>
    </xf>
    <xf numFmtId="0" fontId="10" fillId="17" borderId="3" xfId="228" applyNumberFormat="1" applyFont="1" applyFill="1" applyBorder="1" applyAlignment="1" applyProtection="1">
      <alignment horizontal="center" vertical="top"/>
    </xf>
    <xf numFmtId="2" fontId="6" fillId="4" borderId="3" xfId="0" applyNumberFormat="1" applyFont="1" applyFill="1" applyBorder="1" applyAlignment="1">
      <alignment horizontal="center" vertical="center"/>
    </xf>
    <xf numFmtId="2" fontId="6" fillId="4" borderId="4" xfId="0" applyNumberFormat="1" applyFont="1" applyFill="1" applyBorder="1" applyAlignment="1">
      <alignment horizontal="center" vertical="center"/>
    </xf>
    <xf numFmtId="187" fontId="6" fillId="5" borderId="3" xfId="0" applyNumberFormat="1" applyFont="1" applyFill="1" applyBorder="1" applyAlignment="1">
      <alignment horizontal="center" vertical="center" wrapText="1"/>
    </xf>
    <xf numFmtId="2" fontId="6" fillId="15" borderId="3" xfId="0" applyNumberFormat="1" applyFont="1" applyFill="1" applyBorder="1" applyAlignment="1">
      <alignment horizontal="center" vertical="center"/>
    </xf>
    <xf numFmtId="187" fontId="2" fillId="17" borderId="20" xfId="0" applyNumberFormat="1" applyFont="1" applyFill="1" applyBorder="1" applyAlignment="1">
      <alignment horizontal="center" vertical="center"/>
    </xf>
    <xf numFmtId="187" fontId="2" fillId="17" borderId="4" xfId="0" applyNumberFormat="1" applyFont="1" applyFill="1" applyBorder="1" applyAlignment="1">
      <alignment horizontal="center" vertical="center"/>
    </xf>
    <xf numFmtId="2" fontId="6" fillId="17" borderId="3" xfId="0" applyNumberFormat="1" applyFont="1" applyFill="1" applyBorder="1" applyAlignment="1">
      <alignment horizontal="center" vertical="center"/>
    </xf>
    <xf numFmtId="2" fontId="6" fillId="17" borderId="20" xfId="0" applyNumberFormat="1" applyFont="1" applyFill="1" applyBorder="1" applyAlignment="1">
      <alignment horizontal="center" vertical="center"/>
    </xf>
    <xf numFmtId="2" fontId="6" fillId="17" borderId="4" xfId="0" applyNumberFormat="1" applyFont="1" applyFill="1" applyBorder="1" applyAlignment="1">
      <alignment horizontal="center" vertical="center"/>
    </xf>
    <xf numFmtId="190" fontId="2" fillId="17" borderId="3" xfId="0" applyNumberFormat="1" applyFont="1" applyFill="1" applyBorder="1" applyAlignment="1">
      <alignment horizontal="center" vertical="center" wrapText="1"/>
    </xf>
    <xf numFmtId="190" fontId="2" fillId="17" borderId="20" xfId="0" applyNumberFormat="1" applyFont="1" applyFill="1" applyBorder="1" applyAlignment="1">
      <alignment horizontal="center" vertical="center" wrapText="1"/>
    </xf>
    <xf numFmtId="187" fontId="4" fillId="17" borderId="0" xfId="0" applyNumberFormat="1" applyFont="1" applyFill="1" applyBorder="1" applyAlignment="1">
      <alignment vertical="center" wrapText="1"/>
    </xf>
    <xf numFmtId="187" fontId="4" fillId="0" borderId="0" xfId="0" applyNumberFormat="1" applyFont="1" applyFill="1" applyBorder="1" applyAlignment="1">
      <alignment vertical="center" wrapText="1"/>
    </xf>
    <xf numFmtId="0" fontId="0" fillId="0" borderId="0" xfId="0" applyFill="1" applyBorder="1" applyAlignment="1">
      <alignment vertical="center"/>
    </xf>
    <xf numFmtId="187" fontId="6" fillId="3" borderId="29" xfId="0" applyNumberFormat="1" applyFont="1" applyFill="1" applyBorder="1" applyAlignment="1">
      <alignment horizontal="center" vertical="center" wrapText="1"/>
    </xf>
    <xf numFmtId="187" fontId="6" fillId="3" borderId="30" xfId="0" applyNumberFormat="1" applyFont="1" applyFill="1" applyBorder="1" applyAlignment="1">
      <alignment horizontal="center" vertical="center" wrapText="1"/>
    </xf>
    <xf numFmtId="187" fontId="6" fillId="3" borderId="31" xfId="0" applyNumberFormat="1" applyFont="1" applyFill="1" applyBorder="1" applyAlignment="1">
      <alignment horizontal="center" vertical="center" wrapText="1"/>
    </xf>
    <xf numFmtId="0" fontId="6" fillId="4" borderId="31"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15" borderId="31" xfId="0" applyFont="1" applyFill="1" applyBorder="1" applyAlignment="1">
      <alignment horizontal="center" vertical="center" wrapText="1"/>
    </xf>
    <xf numFmtId="190" fontId="2" fillId="17" borderId="7" xfId="0" applyNumberFormat="1" applyFont="1" applyFill="1" applyBorder="1" applyAlignment="1">
      <alignment horizontal="center" vertical="center"/>
    </xf>
    <xf numFmtId="0" fontId="2" fillId="17" borderId="31" xfId="0" applyFont="1" applyFill="1" applyBorder="1" applyAlignment="1">
      <alignment horizontal="center" vertical="center" wrapText="1"/>
    </xf>
    <xf numFmtId="0" fontId="10" fillId="17" borderId="7" xfId="228" applyNumberFormat="1" applyFont="1" applyFill="1" applyBorder="1" applyAlignment="1" applyProtection="1">
      <alignment horizontal="center" vertical="center"/>
    </xf>
    <xf numFmtId="0" fontId="10" fillId="17" borderId="31" xfId="228" applyNumberFormat="1" applyFont="1" applyFill="1" applyBorder="1" applyAlignment="1" applyProtection="1">
      <alignment horizontal="center" vertical="center"/>
    </xf>
    <xf numFmtId="2" fontId="6" fillId="15" borderId="7" xfId="0" applyNumberFormat="1" applyFont="1" applyFill="1" applyBorder="1" applyAlignment="1">
      <alignment horizontal="center" vertical="center"/>
    </xf>
    <xf numFmtId="2" fontId="6" fillId="17" borderId="7" xfId="0" applyNumberFormat="1" applyFont="1" applyFill="1" applyBorder="1" applyAlignment="1">
      <alignment horizontal="center" vertical="center"/>
    </xf>
    <xf numFmtId="190" fontId="2" fillId="17" borderId="7" xfId="0" applyNumberFormat="1" applyFont="1" applyFill="1" applyBorder="1" applyAlignment="1">
      <alignment horizontal="center" vertical="center" wrapText="1"/>
    </xf>
    <xf numFmtId="0" fontId="35" fillId="15" borderId="4" xfId="128" applyFont="1" applyFill="1" applyBorder="1" applyAlignment="1">
      <alignment vertical="center" wrapText="1"/>
    </xf>
    <xf numFmtId="190" fontId="6" fillId="5" borderId="4" xfId="0" applyNumberFormat="1" applyFont="1" applyFill="1" applyBorder="1" applyAlignment="1">
      <alignment horizontal="left" vertical="center"/>
    </xf>
    <xf numFmtId="0" fontId="34" fillId="17" borderId="4" xfId="128" applyNumberFormat="1" applyFont="1" applyFill="1" applyBorder="1" applyAlignment="1" applyProtection="1">
      <alignment horizontal="left" vertical="center"/>
    </xf>
    <xf numFmtId="0" fontId="40" fillId="17" borderId="4" xfId="0" applyFont="1" applyFill="1" applyBorder="1" applyAlignment="1">
      <alignment horizontal="center" vertical="center" wrapText="1"/>
    </xf>
    <xf numFmtId="0" fontId="34" fillId="17" borderId="4" xfId="0" applyFont="1" applyFill="1" applyBorder="1" applyAlignment="1">
      <alignment horizontal="center" vertical="center" wrapText="1"/>
    </xf>
    <xf numFmtId="0" fontId="28" fillId="15" borderId="20" xfId="228" applyFont="1" applyFill="1" applyBorder="1" applyAlignment="1">
      <alignment horizontal="left" vertical="center" wrapText="1"/>
    </xf>
    <xf numFmtId="0" fontId="42" fillId="5" borderId="4" xfId="228" applyNumberFormat="1" applyFont="1" applyFill="1" applyBorder="1" applyAlignment="1">
      <alignment horizontal="left" vertical="center" wrapText="1"/>
    </xf>
    <xf numFmtId="0" fontId="42" fillId="5" borderId="4" xfId="228" applyNumberFormat="1" applyFont="1" applyFill="1" applyBorder="1" applyAlignment="1">
      <alignment horizontal="center" vertical="center" wrapText="1"/>
    </xf>
    <xf numFmtId="0" fontId="42" fillId="5" borderId="4" xfId="228" applyFont="1" applyFill="1" applyBorder="1" applyAlignment="1">
      <alignment horizontal="left" vertical="center" wrapText="1"/>
    </xf>
    <xf numFmtId="0" fontId="35" fillId="15" borderId="4" xfId="228" applyFont="1" applyFill="1" applyBorder="1" applyAlignment="1">
      <alignment vertical="center" wrapText="1"/>
    </xf>
    <xf numFmtId="0" fontId="44" fillId="17" borderId="4" xfId="289" applyFont="1" applyFill="1" applyBorder="1" applyAlignment="1">
      <alignment horizontal="center" vertical="center"/>
    </xf>
    <xf numFmtId="0" fontId="2" fillId="17" borderId="4" xfId="128" applyFont="1" applyFill="1" applyBorder="1" applyAlignment="1">
      <alignment horizontal="justify" vertical="center" wrapText="1"/>
    </xf>
    <xf numFmtId="0" fontId="45" fillId="15" borderId="3" xfId="228" applyNumberFormat="1" applyFont="1" applyFill="1" applyBorder="1" applyAlignment="1">
      <alignment horizontal="right" vertical="center" wrapText="1"/>
    </xf>
    <xf numFmtId="0" fontId="45" fillId="15" borderId="20" xfId="228" applyNumberFormat="1" applyFont="1" applyFill="1" applyBorder="1" applyAlignment="1">
      <alignment horizontal="center" vertical="center" wrapText="1"/>
    </xf>
    <xf numFmtId="190" fontId="2" fillId="0" borderId="4" xfId="0" applyNumberFormat="1" applyFont="1" applyFill="1" applyBorder="1" applyAlignment="1">
      <alignment horizontal="center" vertical="center" wrapText="1"/>
    </xf>
    <xf numFmtId="190" fontId="6" fillId="5" borderId="4" xfId="0" applyNumberFormat="1" applyFont="1" applyFill="1" applyBorder="1" applyAlignment="1">
      <alignment horizontal="center" vertical="center" wrapText="1"/>
    </xf>
    <xf numFmtId="190" fontId="34" fillId="17" borderId="4" xfId="0" applyNumberFormat="1" applyFont="1" applyFill="1" applyBorder="1" applyAlignment="1">
      <alignment horizontal="center" vertical="center" wrapText="1"/>
    </xf>
    <xf numFmtId="190" fontId="34" fillId="17" borderId="5" xfId="0" applyNumberFormat="1" applyFont="1" applyFill="1" applyBorder="1" applyAlignment="1">
      <alignment horizontal="center" vertical="center" wrapText="1"/>
    </xf>
    <xf numFmtId="9" fontId="40" fillId="17" borderId="4" xfId="0" applyNumberFormat="1" applyFont="1" applyFill="1" applyBorder="1" applyAlignment="1">
      <alignment horizontal="center" vertical="center" wrapText="1"/>
    </xf>
    <xf numFmtId="190" fontId="34" fillId="0" borderId="4" xfId="0" applyNumberFormat="1" applyFont="1" applyFill="1" applyBorder="1" applyAlignment="1">
      <alignment horizontal="center" vertical="center" wrapText="1"/>
    </xf>
    <xf numFmtId="2" fontId="34" fillId="17" borderId="4" xfId="0" applyNumberFormat="1" applyFont="1" applyFill="1" applyBorder="1" applyAlignment="1">
      <alignment horizontal="center" vertical="center" wrapText="1"/>
    </xf>
    <xf numFmtId="190" fontId="40" fillId="17" borderId="4" xfId="0" applyNumberFormat="1" applyFont="1" applyFill="1" applyBorder="1" applyAlignment="1">
      <alignment horizontal="center" vertical="center" wrapText="1"/>
    </xf>
    <xf numFmtId="190" fontId="40" fillId="17" borderId="5" xfId="0" applyNumberFormat="1" applyFont="1" applyFill="1" applyBorder="1" applyAlignment="1">
      <alignment horizontal="center" vertical="center" wrapText="1"/>
    </xf>
    <xf numFmtId="2" fontId="40" fillId="17" borderId="4" xfId="0" applyNumberFormat="1" applyFont="1" applyFill="1" applyBorder="1" applyAlignment="1">
      <alignment horizontal="center" vertical="center"/>
    </xf>
    <xf numFmtId="187" fontId="2" fillId="0" borderId="4" xfId="453" applyNumberFormat="1" applyFont="1" applyFill="1" applyBorder="1" applyAlignment="1">
      <alignment horizontal="center" vertical="center" wrapText="1"/>
    </xf>
    <xf numFmtId="0" fontId="44" fillId="17" borderId="5" xfId="289" applyFont="1" applyFill="1" applyBorder="1" applyAlignment="1">
      <alignment horizontal="center" vertical="center"/>
    </xf>
    <xf numFmtId="0" fontId="10" fillId="17" borderId="5" xfId="228" applyNumberFormat="1" applyFont="1" applyFill="1" applyBorder="1" applyAlignment="1" applyProtection="1">
      <alignment horizontal="center" vertical="center"/>
    </xf>
    <xf numFmtId="0" fontId="35" fillId="15" borderId="5" xfId="228" applyFont="1" applyFill="1" applyBorder="1" applyAlignment="1">
      <alignment horizontal="center" vertical="center" wrapText="1"/>
    </xf>
    <xf numFmtId="190" fontId="6" fillId="5" borderId="3" xfId="0" applyNumberFormat="1" applyFont="1" applyFill="1" applyBorder="1" applyAlignment="1">
      <alignment horizontal="center" vertical="center" wrapText="1"/>
    </xf>
    <xf numFmtId="190" fontId="34" fillId="17" borderId="3" xfId="0" applyNumberFormat="1" applyFont="1" applyFill="1" applyBorder="1" applyAlignment="1">
      <alignment horizontal="center" vertical="center"/>
    </xf>
    <xf numFmtId="190" fontId="34" fillId="17" borderId="20" xfId="0" applyNumberFormat="1" applyFont="1" applyFill="1" applyBorder="1" applyAlignment="1">
      <alignment horizontal="center" vertical="center"/>
    </xf>
    <xf numFmtId="190" fontId="34" fillId="17" borderId="4" xfId="0" applyNumberFormat="1" applyFont="1" applyFill="1" applyBorder="1" applyAlignment="1">
      <alignment horizontal="center" vertical="center"/>
    </xf>
    <xf numFmtId="2" fontId="40" fillId="17" borderId="3" xfId="0" applyNumberFormat="1" applyFont="1" applyFill="1" applyBorder="1" applyAlignment="1">
      <alignment horizontal="center" vertical="center"/>
    </xf>
    <xf numFmtId="2" fontId="40" fillId="17" borderId="20" xfId="0" applyNumberFormat="1" applyFont="1" applyFill="1" applyBorder="1" applyAlignment="1">
      <alignment horizontal="center" vertical="center"/>
    </xf>
    <xf numFmtId="2" fontId="6" fillId="4" borderId="20" xfId="0" applyNumberFormat="1" applyFont="1" applyFill="1" applyBorder="1" applyAlignment="1">
      <alignment horizontal="center" vertical="center"/>
    </xf>
    <xf numFmtId="190" fontId="2" fillId="5" borderId="3" xfId="0" applyNumberFormat="1" applyFont="1" applyFill="1" applyBorder="1" applyAlignment="1">
      <alignment horizontal="center" vertical="center"/>
    </xf>
    <xf numFmtId="190" fontId="2" fillId="5" borderId="20" xfId="0" applyNumberFormat="1" applyFont="1" applyFill="1" applyBorder="1" applyAlignment="1">
      <alignment horizontal="center" vertical="center"/>
    </xf>
    <xf numFmtId="190" fontId="2" fillId="5" borderId="4" xfId="0" applyNumberFormat="1" applyFont="1" applyFill="1" applyBorder="1" applyAlignment="1">
      <alignment horizontal="center" vertical="center"/>
    </xf>
    <xf numFmtId="0" fontId="44" fillId="17" borderId="3" xfId="289" applyFont="1" applyFill="1" applyBorder="1" applyAlignment="1">
      <alignment horizontal="center" vertical="center"/>
    </xf>
    <xf numFmtId="0" fontId="44" fillId="17" borderId="20" xfId="289" applyFont="1" applyFill="1" applyBorder="1" applyAlignment="1">
      <alignment horizontal="center" vertical="center"/>
    </xf>
    <xf numFmtId="0" fontId="10" fillId="17" borderId="3" xfId="228" applyNumberFormat="1" applyFont="1" applyFill="1" applyBorder="1" applyAlignment="1" applyProtection="1">
      <alignment horizontal="center" vertical="center"/>
    </xf>
    <xf numFmtId="0" fontId="10" fillId="17" borderId="20" xfId="228" applyNumberFormat="1" applyFont="1" applyFill="1" applyBorder="1" applyAlignment="1" applyProtection="1">
      <alignment horizontal="center" vertical="center"/>
    </xf>
    <xf numFmtId="0" fontId="35" fillId="15" borderId="3" xfId="228" applyFont="1" applyFill="1" applyBorder="1" applyAlignment="1">
      <alignment horizontal="center" vertical="center" wrapText="1"/>
    </xf>
    <xf numFmtId="0" fontId="35" fillId="15" borderId="20" xfId="228" applyFont="1" applyFill="1" applyBorder="1" applyAlignment="1">
      <alignment horizontal="center" vertical="center" wrapText="1"/>
    </xf>
    <xf numFmtId="190" fontId="34" fillId="17" borderId="7" xfId="0" applyNumberFormat="1" applyFont="1" applyFill="1" applyBorder="1" applyAlignment="1">
      <alignment horizontal="center" vertical="center"/>
    </xf>
    <xf numFmtId="0" fontId="34" fillId="17" borderId="31" xfId="0" applyFont="1" applyFill="1" applyBorder="1" applyAlignment="1">
      <alignment horizontal="center" vertical="center" wrapText="1"/>
    </xf>
    <xf numFmtId="2" fontId="40" fillId="17" borderId="7" xfId="0" applyNumberFormat="1" applyFont="1" applyFill="1" applyBorder="1" applyAlignment="1">
      <alignment horizontal="center" vertical="center"/>
    </xf>
    <xf numFmtId="2" fontId="6" fillId="4" borderId="7" xfId="0" applyNumberFormat="1" applyFont="1" applyFill="1" applyBorder="1" applyAlignment="1">
      <alignment horizontal="center" vertical="center"/>
    </xf>
    <xf numFmtId="190" fontId="2" fillId="5" borderId="7" xfId="0" applyNumberFormat="1" applyFont="1" applyFill="1" applyBorder="1" applyAlignment="1">
      <alignment horizontal="center" vertical="center"/>
    </xf>
    <xf numFmtId="0" fontId="44" fillId="17" borderId="7" xfId="289" applyFont="1" applyFill="1" applyBorder="1" applyAlignment="1">
      <alignment horizontal="center" vertical="center"/>
    </xf>
    <xf numFmtId="0" fontId="44" fillId="17" borderId="31" xfId="289" applyFont="1" applyFill="1" applyBorder="1" applyAlignment="1">
      <alignment horizontal="center" vertical="center"/>
    </xf>
    <xf numFmtId="0" fontId="36" fillId="0" borderId="0" xfId="228" applyFont="1" applyFill="1" applyAlignment="1">
      <alignment vertical="center" wrapText="1"/>
    </xf>
    <xf numFmtId="0" fontId="35" fillId="15" borderId="7" xfId="228" applyFont="1" applyFill="1" applyBorder="1" applyAlignment="1">
      <alignment horizontal="center" vertical="center" wrapText="1"/>
    </xf>
    <xf numFmtId="0" fontId="35" fillId="15" borderId="31" xfId="228" applyFont="1" applyFill="1" applyBorder="1" applyAlignment="1">
      <alignment horizontal="center" vertical="center" wrapText="1"/>
    </xf>
    <xf numFmtId="0" fontId="34" fillId="17" borderId="0" xfId="0" applyFont="1" applyFill="1" applyAlignment="1">
      <alignment vertical="center"/>
    </xf>
    <xf numFmtId="0" fontId="34" fillId="17" borderId="4" xfId="289" applyFont="1" applyFill="1" applyBorder="1" applyAlignment="1">
      <alignment horizontal="left" vertical="center" wrapText="1"/>
    </xf>
    <xf numFmtId="190" fontId="2" fillId="17" borderId="0" xfId="0" applyNumberFormat="1" applyFont="1" applyFill="1" applyAlignment="1">
      <alignment horizontal="center" vertical="center" wrapText="1"/>
    </xf>
    <xf numFmtId="0" fontId="6" fillId="5" borderId="4" xfId="228" applyNumberFormat="1" applyFont="1" applyFill="1" applyBorder="1" applyAlignment="1">
      <alignment horizontal="left" vertical="center" wrapText="1"/>
    </xf>
    <xf numFmtId="0" fontId="6" fillId="5" borderId="4" xfId="228" applyNumberFormat="1" applyFont="1" applyFill="1" applyBorder="1" applyAlignment="1">
      <alignment horizontal="center" vertical="center" wrapText="1"/>
    </xf>
    <xf numFmtId="186" fontId="6" fillId="5" borderId="4" xfId="14" applyNumberFormat="1" applyFont="1" applyFill="1" applyBorder="1" applyAlignment="1">
      <alignment horizontal="center" vertical="center" wrapText="1"/>
    </xf>
    <xf numFmtId="0" fontId="35" fillId="0" borderId="4" xfId="228" applyFont="1" applyFill="1" applyBorder="1" applyAlignment="1">
      <alignment horizontal="justify" vertical="center" wrapText="1"/>
    </xf>
    <xf numFmtId="215" fontId="2" fillId="0" borderId="4" xfId="228" applyNumberFormat="1" applyFont="1" applyFill="1" applyBorder="1" applyAlignment="1">
      <alignment horizontal="center" vertical="center" wrapText="1"/>
    </xf>
    <xf numFmtId="1" fontId="2" fillId="0" borderId="4" xfId="228" applyNumberFormat="1" applyFont="1" applyFill="1" applyBorder="1" applyAlignment="1">
      <alignment horizontal="center" vertical="center" wrapText="1"/>
    </xf>
    <xf numFmtId="0" fontId="35" fillId="0" borderId="4" xfId="228" applyFont="1" applyFill="1" applyBorder="1" applyAlignment="1">
      <alignment horizontal="center" vertical="center" wrapText="1"/>
    </xf>
    <xf numFmtId="215" fontId="2" fillId="0" borderId="4" xfId="14" applyNumberFormat="1" applyFont="1" applyFill="1" applyBorder="1" applyAlignment="1">
      <alignment horizontal="center" vertical="center" wrapText="1"/>
    </xf>
    <xf numFmtId="187" fontId="6" fillId="4" borderId="4" xfId="0" applyNumberFormat="1" applyFont="1" applyFill="1" applyBorder="1" applyAlignment="1">
      <alignment horizontal="center" vertical="center" wrapText="1"/>
    </xf>
    <xf numFmtId="215" fontId="6" fillId="5" borderId="4" xfId="14" applyNumberFormat="1" applyFont="1" applyFill="1" applyBorder="1" applyAlignment="1">
      <alignment horizontal="center" vertical="center" wrapText="1"/>
    </xf>
    <xf numFmtId="207" fontId="6" fillId="5" borderId="4" xfId="14" applyNumberFormat="1" applyFont="1" applyFill="1" applyBorder="1" applyAlignment="1">
      <alignment horizontal="center" vertical="center" wrapText="1"/>
    </xf>
    <xf numFmtId="187" fontId="6" fillId="5" borderId="4" xfId="453" applyNumberFormat="1" applyFont="1" applyFill="1" applyBorder="1" applyAlignment="1">
      <alignment horizontal="center" vertical="center" wrapText="1"/>
    </xf>
    <xf numFmtId="200" fontId="2" fillId="0" borderId="4" xfId="14" applyNumberFormat="1" applyFont="1" applyFill="1" applyBorder="1" applyAlignment="1">
      <alignment horizontal="center" vertical="center" wrapText="1"/>
    </xf>
    <xf numFmtId="187" fontId="2" fillId="15" borderId="4" xfId="453" applyNumberFormat="1" applyFont="1" applyFill="1" applyBorder="1" applyAlignment="1">
      <alignment horizontal="center" vertical="center" wrapText="1"/>
    </xf>
    <xf numFmtId="207" fontId="2" fillId="15" borderId="4" xfId="0" applyNumberFormat="1" applyFont="1" applyFill="1" applyBorder="1" applyAlignment="1">
      <alignment horizontal="center" vertical="center" wrapText="1"/>
    </xf>
    <xf numFmtId="207" fontId="2" fillId="15" borderId="5" xfId="0" applyNumberFormat="1" applyFont="1" applyFill="1" applyBorder="1" applyAlignment="1">
      <alignment horizontal="center" vertical="center" wrapText="1"/>
    </xf>
    <xf numFmtId="200" fontId="2" fillId="0" borderId="4" xfId="453" applyNumberFormat="1" applyFont="1" applyFill="1" applyBorder="1" applyAlignment="1">
      <alignment horizontal="center" vertical="center" wrapText="1"/>
    </xf>
    <xf numFmtId="207" fontId="2" fillId="0" borderId="5" xfId="0" applyNumberFormat="1" applyFont="1" applyFill="1" applyBorder="1" applyAlignment="1">
      <alignment horizontal="center" vertical="center" wrapText="1"/>
    </xf>
    <xf numFmtId="187" fontId="6" fillId="5" borderId="3" xfId="453" applyNumberFormat="1" applyFont="1" applyFill="1" applyBorder="1" applyAlignment="1">
      <alignment horizontal="center" vertical="center" wrapText="1"/>
    </xf>
    <xf numFmtId="187" fontId="6" fillId="5" borderId="20" xfId="453" applyNumberFormat="1" applyFont="1" applyFill="1" applyBorder="1" applyAlignment="1">
      <alignment horizontal="center" vertical="center" wrapText="1"/>
    </xf>
    <xf numFmtId="207" fontId="6" fillId="5" borderId="3" xfId="0" applyNumberFormat="1" applyFont="1" applyFill="1" applyBorder="1" applyAlignment="1">
      <alignment horizontal="center" vertical="center" wrapText="1"/>
    </xf>
    <xf numFmtId="207" fontId="2" fillId="15" borderId="3" xfId="0" applyNumberFormat="1" applyFont="1" applyFill="1" applyBorder="1" applyAlignment="1">
      <alignment horizontal="center" vertical="center" wrapText="1"/>
    </xf>
    <xf numFmtId="0" fontId="34" fillId="0" borderId="0" xfId="0" applyFont="1" applyFill="1" applyAlignment="1">
      <alignment vertical="center"/>
    </xf>
    <xf numFmtId="207" fontId="6" fillId="5" borderId="7" xfId="0" applyNumberFormat="1" applyFont="1" applyFill="1" applyBorder="1" applyAlignment="1">
      <alignment horizontal="center" vertical="center" wrapText="1"/>
    </xf>
    <xf numFmtId="190" fontId="2" fillId="5" borderId="31" xfId="0" applyNumberFormat="1" applyFont="1" applyFill="1" applyBorder="1" applyAlignment="1">
      <alignment horizontal="center" vertical="center" wrapText="1"/>
    </xf>
    <xf numFmtId="207" fontId="2" fillId="15" borderId="7" xfId="0" applyNumberFormat="1" applyFont="1" applyFill="1" applyBorder="1" applyAlignment="1">
      <alignment horizontal="center" vertical="center" wrapText="1"/>
    </xf>
    <xf numFmtId="0" fontId="1" fillId="0" borderId="5" xfId="0" applyNumberFormat="1" applyFont="1" applyFill="1" applyBorder="1" applyAlignment="1">
      <alignment vertical="center"/>
    </xf>
    <xf numFmtId="0" fontId="1" fillId="0" borderId="4" xfId="0" applyNumberFormat="1" applyFont="1" applyFill="1" applyBorder="1" applyAlignment="1">
      <alignment horizontal="center" vertical="center"/>
    </xf>
    <xf numFmtId="207" fontId="2" fillId="0" borderId="4" xfId="14" applyNumberFormat="1" applyFont="1" applyFill="1" applyBorder="1" applyAlignment="1">
      <alignment horizontal="center" vertical="center" wrapText="1"/>
    </xf>
    <xf numFmtId="207" fontId="2" fillId="5" borderId="4" xfId="14" applyNumberFormat="1" applyFont="1" applyFill="1" applyBorder="1" applyAlignment="1">
      <alignment horizontal="center" vertical="center" wrapText="1"/>
    </xf>
    <xf numFmtId="0" fontId="2" fillId="17" borderId="4" xfId="289" applyFont="1" applyFill="1" applyBorder="1" applyAlignment="1">
      <alignment horizontal="left" vertical="center" wrapText="1"/>
    </xf>
    <xf numFmtId="0" fontId="2" fillId="17" borderId="4" xfId="289" applyFont="1" applyFill="1" applyBorder="1" applyAlignment="1">
      <alignment horizontal="center" vertical="center" wrapText="1"/>
    </xf>
    <xf numFmtId="0" fontId="2" fillId="0" borderId="4" xfId="289" applyFont="1" applyFill="1" applyBorder="1" applyAlignment="1">
      <alignment horizontal="left" vertical="center" wrapText="1"/>
    </xf>
    <xf numFmtId="0" fontId="2" fillId="0" borderId="4" xfId="289" applyFont="1" applyFill="1" applyBorder="1" applyAlignment="1">
      <alignment horizontal="center" vertical="center" wrapText="1"/>
    </xf>
    <xf numFmtId="190" fontId="32" fillId="4" borderId="9" xfId="0" applyNumberFormat="1" applyFont="1" applyFill="1" applyBorder="1" applyAlignment="1">
      <alignment horizontal="left" vertical="center" wrapText="1"/>
    </xf>
    <xf numFmtId="0" fontId="6" fillId="4" borderId="9" xfId="0" applyFont="1" applyFill="1" applyBorder="1" applyAlignment="1">
      <alignment horizontal="center" vertical="center" wrapText="1"/>
    </xf>
    <xf numFmtId="0" fontId="6" fillId="0" borderId="4" xfId="228" applyNumberFormat="1" applyFont="1" applyFill="1" applyBorder="1" applyAlignment="1">
      <alignment horizontal="left" vertical="center" wrapText="1"/>
    </xf>
    <xf numFmtId="0" fontId="6" fillId="0" borderId="4" xfId="228" applyNumberFormat="1" applyFont="1" applyFill="1" applyBorder="1" applyAlignment="1">
      <alignment horizontal="center" vertical="center" wrapText="1"/>
    </xf>
    <xf numFmtId="0" fontId="6" fillId="0" borderId="4" xfId="228" applyFont="1" applyFill="1" applyBorder="1" applyAlignment="1">
      <alignment horizontal="left" vertical="center" wrapText="1"/>
    </xf>
    <xf numFmtId="190" fontId="32" fillId="0" borderId="4" xfId="0" applyNumberFormat="1" applyFont="1" applyFill="1" applyBorder="1" applyAlignment="1">
      <alignment horizontal="center" vertical="center" wrapText="1"/>
    </xf>
    <xf numFmtId="190" fontId="6" fillId="0" borderId="4" xfId="453" applyNumberFormat="1" applyFont="1" applyFill="1" applyBorder="1" applyAlignment="1">
      <alignment horizontal="center" vertical="center" wrapText="1"/>
    </xf>
    <xf numFmtId="200" fontId="32" fillId="0" borderId="4" xfId="0" applyNumberFormat="1" applyFont="1" applyFill="1" applyBorder="1" applyAlignment="1">
      <alignment horizontal="center" vertical="center" wrapText="1"/>
    </xf>
    <xf numFmtId="43" fontId="6" fillId="5" borderId="4" xfId="14" applyFont="1" applyFill="1" applyBorder="1" applyAlignment="1">
      <alignment horizontal="center" vertical="center" wrapText="1"/>
    </xf>
    <xf numFmtId="200" fontId="6" fillId="18" borderId="4" xfId="14" applyNumberFormat="1" applyFont="1" applyFill="1" applyBorder="1" applyAlignment="1">
      <alignment horizontal="center" vertical="center" wrapText="1"/>
    </xf>
    <xf numFmtId="0" fontId="2" fillId="5" borderId="5" xfId="453" applyFont="1" applyFill="1" applyBorder="1" applyAlignment="1">
      <alignment horizontal="center" vertical="center" wrapText="1"/>
    </xf>
    <xf numFmtId="43" fontId="6" fillId="0" borderId="4" xfId="14" applyFont="1" applyFill="1" applyBorder="1" applyAlignment="1">
      <alignment horizontal="center" vertical="center" wrapText="1"/>
    </xf>
    <xf numFmtId="207" fontId="6" fillId="0" borderId="4" xfId="0" applyNumberFormat="1" applyFont="1" applyFill="1" applyBorder="1" applyAlignment="1">
      <alignment horizontal="center" vertical="center" wrapText="1"/>
    </xf>
    <xf numFmtId="190" fontId="2" fillId="0" borderId="5" xfId="0" applyNumberFormat="1" applyFont="1" applyFill="1" applyBorder="1" applyAlignment="1">
      <alignment horizontal="center" vertical="center" wrapText="1"/>
    </xf>
    <xf numFmtId="207" fontId="2" fillId="2" borderId="5" xfId="0" applyNumberFormat="1" applyFont="1" applyFill="1" applyBorder="1" applyAlignment="1">
      <alignment horizontal="center" vertical="center" wrapText="1"/>
    </xf>
    <xf numFmtId="200" fontId="2" fillId="0" borderId="4" xfId="0" applyNumberFormat="1" applyFont="1" applyFill="1" applyBorder="1" applyAlignment="1">
      <alignment horizontal="center" vertical="center" wrapText="1"/>
    </xf>
    <xf numFmtId="215" fontId="2" fillId="5" borderId="4" xfId="14" applyNumberFormat="1" applyFont="1" applyFill="1" applyBorder="1" applyAlignment="1">
      <alignment horizontal="center" vertical="center" wrapText="1"/>
    </xf>
    <xf numFmtId="200" fontId="2" fillId="5" borderId="4" xfId="14" applyNumberFormat="1" applyFont="1" applyFill="1" applyBorder="1" applyAlignment="1">
      <alignment horizontal="center" vertical="center" wrapText="1"/>
    </xf>
    <xf numFmtId="9" fontId="2" fillId="5" borderId="4" xfId="18" applyFont="1" applyFill="1" applyBorder="1" applyAlignment="1">
      <alignment horizontal="center" vertical="center" wrapText="1"/>
    </xf>
    <xf numFmtId="200" fontId="2" fillId="18" borderId="4" xfId="14" applyNumberFormat="1" applyFont="1" applyFill="1" applyBorder="1" applyAlignment="1">
      <alignment horizontal="center" vertical="center" wrapText="1"/>
    </xf>
    <xf numFmtId="9" fontId="32" fillId="0" borderId="4" xfId="18" applyFont="1" applyFill="1" applyBorder="1" applyAlignment="1">
      <alignment horizontal="center" vertical="center" wrapText="1"/>
    </xf>
    <xf numFmtId="200" fontId="6" fillId="4" borderId="9" xfId="0" applyNumberFormat="1" applyFont="1" applyFill="1" applyBorder="1" applyAlignment="1">
      <alignment horizontal="center" vertical="center" wrapText="1"/>
    </xf>
    <xf numFmtId="2" fontId="6" fillId="4" borderId="9" xfId="0" applyNumberFormat="1" applyFont="1" applyFill="1" applyBorder="1" applyAlignment="1">
      <alignment horizontal="center" vertical="center" wrapText="1"/>
    </xf>
    <xf numFmtId="0" fontId="6" fillId="4" borderId="26" xfId="0" applyFont="1" applyFill="1" applyBorder="1" applyAlignment="1">
      <alignment horizontal="center" vertical="center" wrapText="1"/>
    </xf>
    <xf numFmtId="0" fontId="6" fillId="4" borderId="32" xfId="0" applyFont="1" applyFill="1" applyBorder="1" applyAlignment="1">
      <alignment horizontal="center" vertical="center" wrapText="1"/>
    </xf>
    <xf numFmtId="200" fontId="6" fillId="0" borderId="4" xfId="0" applyNumberFormat="1" applyFont="1" applyFill="1" applyBorder="1" applyAlignment="1">
      <alignment horizontal="center" vertical="center" wrapText="1"/>
    </xf>
    <xf numFmtId="0" fontId="0" fillId="0" borderId="4" xfId="0" applyFont="1" applyFill="1" applyBorder="1" applyAlignment="1">
      <alignment horizontal="center" vertical="center"/>
    </xf>
    <xf numFmtId="2" fontId="6" fillId="5" borderId="3" xfId="453" applyNumberFormat="1" applyFont="1" applyFill="1" applyBorder="1" applyAlignment="1">
      <alignment horizontal="center" vertical="center" wrapText="1"/>
    </xf>
    <xf numFmtId="2" fontId="6" fillId="5" borderId="20" xfId="453" applyNumberFormat="1" applyFont="1" applyFill="1" applyBorder="1" applyAlignment="1">
      <alignment horizontal="center" vertical="center" wrapText="1"/>
    </xf>
    <xf numFmtId="207" fontId="2" fillId="15" borderId="20" xfId="0" applyNumberFormat="1" applyFont="1" applyFill="1" applyBorder="1" applyAlignment="1">
      <alignment horizontal="center" vertical="center" wrapText="1"/>
    </xf>
    <xf numFmtId="187" fontId="2" fillId="0" borderId="3" xfId="0" applyNumberFormat="1" applyFont="1" applyFill="1" applyBorder="1" applyAlignment="1">
      <alignment horizontal="center" vertical="center"/>
    </xf>
    <xf numFmtId="187" fontId="2" fillId="0" borderId="20" xfId="0" applyNumberFormat="1" applyFont="1" applyFill="1" applyBorder="1" applyAlignment="1">
      <alignment horizontal="center" vertical="center"/>
    </xf>
    <xf numFmtId="187" fontId="2" fillId="0" borderId="4" xfId="0" applyNumberFormat="1" applyFont="1" applyFill="1" applyBorder="1" applyAlignment="1">
      <alignment horizontal="center" vertical="center"/>
    </xf>
    <xf numFmtId="207" fontId="2" fillId="0" borderId="3" xfId="0" applyNumberFormat="1" applyFont="1" applyFill="1" applyBorder="1" applyAlignment="1">
      <alignment horizontal="center" vertical="center" wrapText="1"/>
    </xf>
    <xf numFmtId="207" fontId="6" fillId="0" borderId="3" xfId="14" applyNumberFormat="1" applyFont="1" applyFill="1" applyBorder="1" applyAlignment="1">
      <alignment horizontal="center" vertical="center" wrapText="1"/>
    </xf>
    <xf numFmtId="207" fontId="6" fillId="0" borderId="20" xfId="14" applyNumberFormat="1" applyFont="1" applyFill="1" applyBorder="1" applyAlignment="1">
      <alignment horizontal="center" vertical="center" wrapText="1"/>
    </xf>
    <xf numFmtId="207" fontId="6" fillId="0" borderId="4" xfId="14" applyNumberFormat="1" applyFont="1" applyFill="1" applyBorder="1" applyAlignment="1">
      <alignment horizontal="center" vertical="center" wrapText="1"/>
    </xf>
    <xf numFmtId="207" fontId="6" fillId="0" borderId="3" xfId="0" applyNumberFormat="1" applyFont="1" applyFill="1" applyBorder="1" applyAlignment="1">
      <alignment horizontal="center" vertical="center" wrapText="1"/>
    </xf>
    <xf numFmtId="207" fontId="2" fillId="0" borderId="20" xfId="0" applyNumberFormat="1" applyFont="1" applyFill="1" applyBorder="1" applyAlignment="1">
      <alignment horizontal="center" vertical="center" wrapText="1"/>
    </xf>
    <xf numFmtId="207" fontId="6" fillId="0" borderId="20" xfId="0" applyNumberFormat="1" applyFont="1" applyFill="1" applyBorder="1" applyAlignment="1">
      <alignment horizontal="center" vertical="center" wrapText="1"/>
    </xf>
    <xf numFmtId="2" fontId="6" fillId="4" borderId="33" xfId="0" applyNumberFormat="1" applyFont="1" applyFill="1" applyBorder="1" applyAlignment="1">
      <alignment horizontal="center" vertical="center" wrapText="1"/>
    </xf>
    <xf numFmtId="0" fontId="6" fillId="4" borderId="33" xfId="0" applyFont="1" applyFill="1" applyBorder="1" applyAlignment="1">
      <alignment horizontal="center" vertical="center" wrapText="1"/>
    </xf>
    <xf numFmtId="0" fontId="0" fillId="0" borderId="4" xfId="0" applyFont="1" applyFill="1" applyBorder="1" applyAlignment="1">
      <alignment horizontal="right" vertical="center"/>
    </xf>
    <xf numFmtId="206" fontId="0" fillId="2" borderId="0" xfId="0" applyNumberFormat="1" applyFill="1" applyAlignment="1">
      <alignment horizontal="center" vertical="center"/>
    </xf>
    <xf numFmtId="207" fontId="2" fillId="0" borderId="7" xfId="0" applyNumberFormat="1" applyFont="1" applyFill="1" applyBorder="1" applyAlignment="1">
      <alignment horizontal="center" vertical="center" wrapText="1"/>
    </xf>
    <xf numFmtId="0" fontId="2" fillId="0" borderId="31" xfId="0" applyFont="1" applyFill="1" applyBorder="1" applyAlignment="1">
      <alignment horizontal="center" vertical="center" wrapText="1"/>
    </xf>
    <xf numFmtId="207" fontId="6" fillId="0" borderId="7" xfId="0" applyNumberFormat="1" applyFont="1" applyFill="1" applyBorder="1" applyAlignment="1">
      <alignment horizontal="center" vertical="center" wrapText="1"/>
    </xf>
    <xf numFmtId="190" fontId="2" fillId="0" borderId="31" xfId="0" applyNumberFormat="1" applyFont="1" applyFill="1" applyBorder="1" applyAlignment="1">
      <alignment horizontal="center" vertical="center" wrapText="1"/>
    </xf>
    <xf numFmtId="0" fontId="6" fillId="4" borderId="34" xfId="0" applyFont="1" applyFill="1" applyBorder="1" applyAlignment="1">
      <alignment horizontal="center" vertical="center" wrapText="1"/>
    </xf>
    <xf numFmtId="0" fontId="6" fillId="4" borderId="35" xfId="0" applyFont="1" applyFill="1" applyBorder="1" applyAlignment="1">
      <alignment horizontal="center" vertical="center" wrapText="1"/>
    </xf>
    <xf numFmtId="0" fontId="0" fillId="0" borderId="4" xfId="0" applyFont="1" applyFill="1" applyBorder="1" applyAlignment="1">
      <alignment vertical="center" wrapText="1"/>
    </xf>
    <xf numFmtId="0" fontId="46" fillId="0" borderId="0" xfId="0" applyFont="1"/>
    <xf numFmtId="0" fontId="47" fillId="0" borderId="0" xfId="0" applyFont="1"/>
    <xf numFmtId="0" fontId="27" fillId="0" borderId="0" xfId="352" applyFill="1" applyAlignment="1">
      <alignment horizontal="center" vertical="center"/>
    </xf>
    <xf numFmtId="0" fontId="27" fillId="0" borderId="0" xfId="352" applyAlignment="1">
      <alignment horizontal="center" vertical="center"/>
    </xf>
    <xf numFmtId="207" fontId="27" fillId="0" borderId="0" xfId="352" applyNumberFormat="1" applyAlignment="1">
      <alignment horizontal="center" vertical="center"/>
    </xf>
    <xf numFmtId="207" fontId="47" fillId="0" borderId="0" xfId="0" applyNumberFormat="1" applyFont="1" applyAlignment="1">
      <alignment horizontal="center"/>
    </xf>
    <xf numFmtId="9" fontId="47" fillId="0" borderId="0" xfId="18" applyFont="1" applyAlignment="1">
      <alignment horizontal="center"/>
    </xf>
    <xf numFmtId="0" fontId="27" fillId="0" borderId="4" xfId="352" applyFill="1" applyBorder="1" applyAlignment="1">
      <alignment horizontal="center" vertical="center"/>
    </xf>
    <xf numFmtId="0" fontId="2" fillId="0" borderId="4" xfId="352" applyFont="1" applyFill="1" applyBorder="1" applyAlignment="1" applyProtection="1">
      <alignment horizontal="center" vertical="center"/>
      <protection locked="0"/>
    </xf>
    <xf numFmtId="207" fontId="2" fillId="0" borderId="4" xfId="352" applyNumberFormat="1" applyFont="1" applyFill="1" applyBorder="1" applyAlignment="1" applyProtection="1">
      <alignment horizontal="center" vertical="center"/>
      <protection locked="0"/>
    </xf>
    <xf numFmtId="207" fontId="46" fillId="0" borderId="4" xfId="0" applyNumberFormat="1" applyFont="1" applyBorder="1" applyAlignment="1">
      <alignment horizontal="center"/>
    </xf>
    <xf numFmtId="207" fontId="47" fillId="0" borderId="4" xfId="0" applyNumberFormat="1" applyFont="1" applyBorder="1" applyAlignment="1">
      <alignment horizontal="center"/>
    </xf>
    <xf numFmtId="186" fontId="34" fillId="0" borderId="4" xfId="14" applyNumberFormat="1" applyFont="1" applyFill="1" applyBorder="1" applyAlignment="1">
      <alignment horizontal="center" vertical="center" wrapText="1"/>
    </xf>
    <xf numFmtId="0" fontId="1" fillId="0" borderId="4" xfId="352" applyFont="1" applyFill="1" applyBorder="1" applyAlignment="1">
      <alignment horizontal="center"/>
    </xf>
    <xf numFmtId="0" fontId="35" fillId="0" borderId="4" xfId="128" applyFont="1" applyFill="1" applyBorder="1" applyAlignment="1">
      <alignment horizontal="center" vertical="center" wrapText="1"/>
    </xf>
    <xf numFmtId="0" fontId="34" fillId="0" borderId="4" xfId="228" applyNumberFormat="1" applyFont="1" applyFill="1" applyBorder="1" applyAlignment="1" applyProtection="1">
      <alignment horizontal="center" vertical="center"/>
    </xf>
    <xf numFmtId="0" fontId="27" fillId="0" borderId="0" xfId="352" applyFill="1" applyAlignment="1">
      <alignment horizontal="center"/>
    </xf>
    <xf numFmtId="9" fontId="27" fillId="0" borderId="0" xfId="18" applyFont="1" applyAlignment="1">
      <alignment horizontal="center"/>
    </xf>
    <xf numFmtId="0" fontId="27" fillId="0" borderId="0" xfId="352" applyAlignment="1">
      <alignment horizontal="center"/>
    </xf>
    <xf numFmtId="0" fontId="6" fillId="3" borderId="26" xfId="0" applyFont="1" applyFill="1" applyBorder="1" applyAlignment="1">
      <alignment horizontal="center" vertical="center" wrapText="1"/>
    </xf>
    <xf numFmtId="0" fontId="48" fillId="22" borderId="4" xfId="0" applyFont="1" applyFill="1" applyBorder="1" applyAlignment="1">
      <alignment horizontal="center" vertical="top" wrapText="1"/>
    </xf>
    <xf numFmtId="0" fontId="6" fillId="3" borderId="12" xfId="0" applyFont="1" applyFill="1" applyBorder="1" applyAlignment="1">
      <alignment horizontal="center" vertical="center" wrapText="1"/>
    </xf>
    <xf numFmtId="9" fontId="49" fillId="22" borderId="4" xfId="18" applyFont="1" applyFill="1" applyBorder="1" applyAlignment="1" applyProtection="1">
      <alignment horizontal="center" vertical="center" wrapText="1"/>
      <protection locked="0"/>
    </xf>
    <xf numFmtId="221" fontId="49" fillId="22" borderId="4" xfId="0" applyNumberFormat="1" applyFont="1" applyFill="1" applyBorder="1" applyAlignment="1" applyProtection="1">
      <alignment horizontal="center" vertical="center" wrapText="1"/>
      <protection locked="0"/>
    </xf>
    <xf numFmtId="2" fontId="2" fillId="0" borderId="4" xfId="352" applyNumberFormat="1" applyFont="1" applyFill="1" applyBorder="1" applyAlignment="1">
      <alignment horizontal="center" vertical="center"/>
    </xf>
    <xf numFmtId="9" fontId="2" fillId="0" borderId="4" xfId="352" applyNumberFormat="1" applyFont="1" applyFill="1" applyBorder="1" applyAlignment="1">
      <alignment horizontal="center" vertical="center"/>
    </xf>
    <xf numFmtId="9" fontId="27" fillId="0" borderId="4" xfId="18" applyFont="1" applyFill="1" applyBorder="1" applyAlignment="1">
      <alignment horizontal="center"/>
    </xf>
    <xf numFmtId="0" fontId="27" fillId="0" borderId="4" xfId="352" applyFill="1" applyBorder="1" applyAlignment="1">
      <alignment horizontal="center"/>
    </xf>
    <xf numFmtId="0" fontId="2" fillId="0" borderId="5" xfId="352" applyFont="1" applyFill="1" applyBorder="1" applyAlignment="1" applyProtection="1">
      <alignment horizontal="center" vertical="center"/>
      <protection locked="0"/>
    </xf>
    <xf numFmtId="9" fontId="27" fillId="0" borderId="4" xfId="352" applyNumberFormat="1" applyFill="1" applyBorder="1" applyAlignment="1">
      <alignment horizontal="center"/>
    </xf>
    <xf numFmtId="9" fontId="1" fillId="0" borderId="4" xfId="18" applyFont="1" applyFill="1" applyBorder="1" applyAlignment="1">
      <alignment horizontal="center"/>
    </xf>
    <xf numFmtId="221" fontId="49" fillId="22" borderId="36" xfId="0" applyNumberFormat="1" applyFont="1" applyFill="1" applyBorder="1" applyAlignment="1" applyProtection="1">
      <alignment horizontal="center" vertical="center" wrapText="1"/>
      <protection locked="0"/>
    </xf>
    <xf numFmtId="221" fontId="49" fillId="22" borderId="28" xfId="0" applyNumberFormat="1" applyFont="1" applyFill="1" applyBorder="1" applyAlignment="1" applyProtection="1">
      <alignment horizontal="center" vertical="center" wrapText="1"/>
      <protection locked="0"/>
    </xf>
    <xf numFmtId="9" fontId="2" fillId="0" borderId="12" xfId="352" applyNumberFormat="1" applyFont="1" applyFill="1" applyBorder="1" applyAlignment="1">
      <alignment horizontal="center" vertical="center"/>
    </xf>
    <xf numFmtId="9" fontId="2" fillId="0" borderId="4" xfId="18" applyFont="1" applyFill="1" applyBorder="1" applyAlignment="1">
      <alignment horizontal="center" vertical="center"/>
    </xf>
    <xf numFmtId="0" fontId="2" fillId="0" borderId="5" xfId="352" applyFont="1" applyFill="1" applyBorder="1" applyAlignment="1">
      <alignment horizontal="center" vertical="center" wrapText="1"/>
    </xf>
    <xf numFmtId="0" fontId="2" fillId="0" borderId="37" xfId="352" applyFont="1" applyFill="1" applyBorder="1" applyAlignment="1">
      <alignment horizontal="center" vertical="center" wrapText="1"/>
    </xf>
    <xf numFmtId="0" fontId="2" fillId="0" borderId="20" xfId="352" applyFont="1" applyFill="1" applyBorder="1" applyAlignment="1">
      <alignment horizontal="center" vertical="center" wrapText="1"/>
    </xf>
    <xf numFmtId="2" fontId="2" fillId="0" borderId="4" xfId="352" applyNumberFormat="1" applyFont="1" applyFill="1" applyBorder="1" applyAlignment="1">
      <alignment horizontal="center" vertical="center" wrapText="1"/>
    </xf>
    <xf numFmtId="0" fontId="2" fillId="0" borderId="4" xfId="352" applyFont="1" applyFill="1" applyBorder="1" applyAlignment="1">
      <alignment horizontal="center" vertical="center" wrapText="1"/>
    </xf>
    <xf numFmtId="0" fontId="50" fillId="0" borderId="0" xfId="352" applyFont="1" applyFill="1" applyBorder="1" applyAlignment="1">
      <alignment horizontal="center" vertical="center"/>
    </xf>
    <xf numFmtId="0" fontId="27" fillId="0" borderId="0" xfId="352" applyFill="1" applyBorder="1" applyAlignment="1">
      <alignment horizontal="center" vertical="center"/>
    </xf>
    <xf numFmtId="9" fontId="27" fillId="0" borderId="0" xfId="18" applyFont="1" applyFill="1" applyAlignment="1">
      <alignment horizontal="center"/>
    </xf>
    <xf numFmtId="0" fontId="27" fillId="0" borderId="0" xfId="352" applyBorder="1" applyAlignment="1">
      <alignment horizontal="center" vertical="center"/>
    </xf>
    <xf numFmtId="9" fontId="27" fillId="0" borderId="4" xfId="18" applyFont="1" applyFill="1" applyBorder="1" applyAlignment="1">
      <alignment horizontal="center" vertical="center"/>
    </xf>
    <xf numFmtId="9" fontId="27" fillId="0" borderId="4" xfId="352" applyNumberFormat="1" applyFill="1" applyBorder="1" applyAlignment="1">
      <alignment horizontal="center" vertical="center"/>
    </xf>
    <xf numFmtId="0" fontId="1" fillId="0" borderId="0" xfId="352" applyFont="1" applyAlignment="1">
      <alignment horizontal="center"/>
    </xf>
    <xf numFmtId="0" fontId="27" fillId="0" borderId="0" xfId="352" applyFill="1"/>
    <xf numFmtId="0" fontId="51" fillId="0" borderId="25" xfId="352" applyFont="1" applyFill="1" applyBorder="1" applyAlignment="1">
      <alignment horizontal="center" vertical="center"/>
    </xf>
    <xf numFmtId="186" fontId="34" fillId="23" borderId="4" xfId="14" applyNumberFormat="1" applyFont="1" applyFill="1" applyBorder="1" applyAlignment="1">
      <alignment horizontal="center" vertical="center" wrapText="1"/>
    </xf>
    <xf numFmtId="0" fontId="2" fillId="23" borderId="5" xfId="352" applyFont="1" applyFill="1" applyBorder="1" applyAlignment="1" applyProtection="1">
      <alignment horizontal="center" vertical="center"/>
      <protection locked="0"/>
    </xf>
    <xf numFmtId="0" fontId="2" fillId="0" borderId="4" xfId="352" applyFont="1" applyFill="1" applyBorder="1" applyAlignment="1">
      <alignment horizontal="center" vertical="center"/>
    </xf>
    <xf numFmtId="0" fontId="35" fillId="23" borderId="4" xfId="228" applyFont="1" applyFill="1" applyBorder="1" applyAlignment="1">
      <alignment horizontal="center" vertical="center" wrapText="1"/>
    </xf>
    <xf numFmtId="0" fontId="35" fillId="23" borderId="4" xfId="128" applyFont="1" applyFill="1" applyBorder="1" applyAlignment="1">
      <alignment horizontal="center" vertical="center" wrapText="1"/>
    </xf>
    <xf numFmtId="0" fontId="4" fillId="0" borderId="4" xfId="352" applyFont="1" applyBorder="1" applyAlignment="1">
      <alignment horizontal="center" vertical="center"/>
    </xf>
    <xf numFmtId="194" fontId="27" fillId="0" borderId="4" xfId="352" applyNumberFormat="1" applyBorder="1" applyAlignment="1">
      <alignment horizontal="center" vertical="center"/>
    </xf>
    <xf numFmtId="0" fontId="52" fillId="0" borderId="0" xfId="352" applyFont="1" applyAlignment="1">
      <alignment horizontal="left" vertical="top" wrapText="1"/>
    </xf>
    <xf numFmtId="0" fontId="2" fillId="0" borderId="4" xfId="352" applyFont="1" applyFill="1" applyBorder="1" applyAlignment="1">
      <alignment vertical="center" wrapText="1"/>
    </xf>
    <xf numFmtId="0" fontId="50" fillId="0" borderId="0" xfId="352" applyFont="1" applyBorder="1" applyAlignment="1">
      <alignment horizontal="center" vertical="center"/>
    </xf>
    <xf numFmtId="207" fontId="50" fillId="0" borderId="4" xfId="18" applyNumberFormat="1" applyFont="1" applyBorder="1" applyAlignment="1">
      <alignment horizontal="center" vertical="center"/>
    </xf>
    <xf numFmtId="9" fontId="50" fillId="0" borderId="0" xfId="18" applyFont="1" applyBorder="1" applyAlignment="1">
      <alignment horizontal="center" vertical="center"/>
    </xf>
    <xf numFmtId="10" fontId="50" fillId="0" borderId="0" xfId="18" applyNumberFormat="1" applyFont="1" applyBorder="1" applyAlignment="1">
      <alignment horizontal="center" vertical="center"/>
    </xf>
    <xf numFmtId="0" fontId="2" fillId="0" borderId="0" xfId="0" applyFont="1" applyFill="1"/>
    <xf numFmtId="0" fontId="2" fillId="17" borderId="0" xfId="0" applyFont="1" applyFill="1"/>
    <xf numFmtId="0" fontId="2" fillId="0" borderId="0" xfId="0" applyFont="1"/>
    <xf numFmtId="0" fontId="4" fillId="17" borderId="21" xfId="0" applyFont="1" applyFill="1" applyBorder="1" applyAlignment="1">
      <alignment horizontal="center" vertical="center"/>
    </xf>
    <xf numFmtId="0" fontId="6" fillId="3" borderId="38" xfId="0" applyFont="1" applyFill="1" applyBorder="1" applyAlignment="1">
      <alignment horizontal="center" vertical="center" wrapText="1"/>
    </xf>
    <xf numFmtId="0" fontId="6" fillId="3" borderId="39"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32" fillId="4" borderId="40" xfId="0" applyFont="1" applyFill="1" applyBorder="1" applyAlignment="1">
      <alignment horizontal="center" vertical="center" wrapText="1"/>
    </xf>
    <xf numFmtId="190" fontId="32" fillId="4" borderId="8" xfId="0" applyNumberFormat="1" applyFont="1" applyFill="1" applyBorder="1" applyAlignment="1">
      <alignment horizontal="left" vertical="center" wrapText="1"/>
    </xf>
    <xf numFmtId="190" fontId="32" fillId="4" borderId="41" xfId="0" applyNumberFormat="1" applyFont="1" applyFill="1" applyBorder="1" applyAlignment="1">
      <alignment horizontal="center" vertical="center" wrapText="1"/>
    </xf>
    <xf numFmtId="190" fontId="53" fillId="4" borderId="11" xfId="0" applyNumberFormat="1" applyFont="1" applyFill="1" applyBorder="1" applyAlignment="1">
      <alignment horizontal="center" vertical="center" wrapText="1"/>
    </xf>
    <xf numFmtId="186" fontId="32" fillId="4" borderId="20" xfId="14" applyNumberFormat="1" applyFont="1" applyFill="1" applyBorder="1" applyAlignment="1">
      <alignment horizontal="center" vertical="center" wrapText="1"/>
    </xf>
    <xf numFmtId="186" fontId="32" fillId="4" borderId="4" xfId="14" applyNumberFormat="1" applyFont="1" applyFill="1" applyBorder="1" applyAlignment="1">
      <alignment horizontal="center" vertical="center" wrapText="1"/>
    </xf>
    <xf numFmtId="190" fontId="6" fillId="5" borderId="40" xfId="0" applyNumberFormat="1" applyFont="1" applyFill="1" applyBorder="1" applyAlignment="1">
      <alignment horizontal="center" vertical="center" wrapText="1"/>
    </xf>
    <xf numFmtId="190" fontId="6" fillId="5" borderId="42" xfId="0" applyNumberFormat="1" applyFont="1" applyFill="1" applyBorder="1" applyAlignment="1">
      <alignment horizontal="left" vertical="center" wrapText="1"/>
    </xf>
    <xf numFmtId="190" fontId="2" fillId="5" borderId="12" xfId="0" applyNumberFormat="1" applyFont="1" applyFill="1" applyBorder="1" applyAlignment="1">
      <alignment horizontal="center" vertical="center" wrapText="1"/>
    </xf>
    <xf numFmtId="186" fontId="2" fillId="5" borderId="12" xfId="14"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187" fontId="2" fillId="3" borderId="4" xfId="0" applyNumberFormat="1" applyFont="1" applyFill="1" applyBorder="1" applyAlignment="1">
      <alignment vertical="center" wrapText="1"/>
    </xf>
    <xf numFmtId="0" fontId="2" fillId="3" borderId="4" xfId="0" applyFont="1" applyFill="1" applyBorder="1" applyAlignment="1">
      <alignment vertical="center" wrapText="1"/>
    </xf>
    <xf numFmtId="190" fontId="2" fillId="3" borderId="4" xfId="111" applyNumberFormat="1" applyFont="1" applyFill="1" applyBorder="1" applyAlignment="1">
      <alignment horizontal="center" vertical="center" wrapText="1"/>
    </xf>
    <xf numFmtId="0" fontId="2" fillId="3" borderId="26" xfId="0" applyFont="1" applyFill="1" applyBorder="1" applyAlignment="1">
      <alignment vertical="center" wrapText="1"/>
    </xf>
    <xf numFmtId="0" fontId="2" fillId="3" borderId="26" xfId="0" applyFont="1" applyFill="1" applyBorder="1" applyAlignment="1">
      <alignment horizontal="center" vertical="center" wrapText="1"/>
    </xf>
    <xf numFmtId="0" fontId="54" fillId="2" borderId="3" xfId="228" applyNumberFormat="1" applyFont="1" applyFill="1" applyBorder="1" applyAlignment="1" applyProtection="1">
      <alignment horizontal="center" vertical="center"/>
    </xf>
    <xf numFmtId="0" fontId="2" fillId="3" borderId="4" xfId="0" applyFont="1" applyFill="1" applyBorder="1" applyAlignment="1">
      <alignment horizontal="left" vertical="center" wrapText="1"/>
    </xf>
    <xf numFmtId="187" fontId="2" fillId="3" borderId="4" xfId="0" applyNumberFormat="1" applyFont="1" applyFill="1" applyBorder="1" applyAlignment="1">
      <alignment horizontal="center" vertical="center" wrapText="1"/>
    </xf>
    <xf numFmtId="0" fontId="2" fillId="3" borderId="4" xfId="0" applyFont="1" applyFill="1" applyBorder="1" applyAlignment="1">
      <alignment horizontal="center" vertical="center" wrapText="1"/>
    </xf>
    <xf numFmtId="0" fontId="54" fillId="0" borderId="3" xfId="228" applyNumberFormat="1" applyFont="1" applyFill="1" applyBorder="1" applyAlignment="1" applyProtection="1">
      <alignment horizontal="center" vertical="center"/>
    </xf>
    <xf numFmtId="0" fontId="2" fillId="0" borderId="4" xfId="0" applyFont="1" applyFill="1" applyBorder="1" applyAlignment="1">
      <alignment horizontal="left" vertical="center" wrapText="1"/>
    </xf>
    <xf numFmtId="190" fontId="2" fillId="3" borderId="4" xfId="0" applyNumberFormat="1" applyFont="1" applyFill="1" applyBorder="1" applyAlignment="1">
      <alignment horizontal="center" vertical="center" wrapText="1"/>
    </xf>
    <xf numFmtId="9" fontId="2" fillId="3" borderId="4" xfId="0" applyNumberFormat="1" applyFont="1" applyFill="1" applyBorder="1" applyAlignment="1">
      <alignment horizontal="center" vertical="center" wrapText="1"/>
    </xf>
    <xf numFmtId="0" fontId="2" fillId="20" borderId="4" xfId="228" applyNumberFormat="1" applyFont="1" applyFill="1" applyBorder="1" applyAlignment="1" applyProtection="1">
      <alignment horizontal="left" vertical="center" wrapText="1"/>
    </xf>
    <xf numFmtId="190" fontId="2" fillId="2" borderId="4" xfId="111" applyNumberFormat="1" applyFont="1" applyFill="1" applyBorder="1" applyAlignment="1">
      <alignment horizontal="center" vertical="center" wrapText="1"/>
    </xf>
    <xf numFmtId="0" fontId="2" fillId="2" borderId="26" xfId="0" applyFont="1" applyFill="1" applyBorder="1" applyAlignment="1">
      <alignment vertical="center" wrapText="1"/>
    </xf>
    <xf numFmtId="0" fontId="2" fillId="2" borderId="26" xfId="0" applyFont="1" applyFill="1" applyBorder="1" applyAlignment="1">
      <alignment horizontal="center" vertical="center" wrapText="1"/>
    </xf>
    <xf numFmtId="0" fontId="2" fillId="0" borderId="4" xfId="228" applyNumberFormat="1" applyFont="1" applyFill="1" applyBorder="1" applyAlignment="1" applyProtection="1">
      <alignment horizontal="left" vertical="center" wrapText="1"/>
    </xf>
    <xf numFmtId="0" fontId="32" fillId="4" borderId="42" xfId="0" applyFont="1" applyFill="1" applyBorder="1" applyAlignment="1">
      <alignment horizontal="center" vertical="center" wrapText="1"/>
    </xf>
    <xf numFmtId="190" fontId="32" fillId="4" borderId="12" xfId="0" applyNumberFormat="1" applyFont="1" applyFill="1" applyBorder="1" applyAlignment="1">
      <alignment horizontal="left" vertical="center" wrapText="1"/>
    </xf>
    <xf numFmtId="190" fontId="32" fillId="4" borderId="12" xfId="0" applyNumberFormat="1" applyFont="1" applyFill="1" applyBorder="1" applyAlignment="1">
      <alignment horizontal="center" vertical="center" wrapText="1"/>
    </xf>
    <xf numFmtId="186" fontId="32" fillId="4" borderId="12" xfId="14" applyNumberFormat="1" applyFont="1" applyFill="1" applyBorder="1" applyAlignment="1">
      <alignment horizontal="center" vertical="center" wrapText="1"/>
    </xf>
    <xf numFmtId="190" fontId="2" fillId="2" borderId="4" xfId="0" applyNumberFormat="1" applyFont="1" applyFill="1" applyBorder="1" applyAlignment="1">
      <alignment horizontal="center" vertical="center" wrapText="1"/>
    </xf>
    <xf numFmtId="0" fontId="2" fillId="2" borderId="9" xfId="0" applyFont="1" applyFill="1" applyBorder="1" applyAlignment="1">
      <alignment horizontal="left" vertical="center" wrapText="1"/>
    </xf>
    <xf numFmtId="190" fontId="2" fillId="2" borderId="9" xfId="0" applyNumberFormat="1" applyFont="1" applyFill="1" applyBorder="1" applyAlignment="1">
      <alignment horizontal="center" vertical="center" wrapText="1"/>
    </xf>
    <xf numFmtId="0" fontId="2" fillId="0" borderId="0" xfId="0" applyFont="1" applyBorder="1" applyAlignment="1">
      <alignment horizontal="left" vertical="center"/>
    </xf>
    <xf numFmtId="0" fontId="2" fillId="0" borderId="0" xfId="0" applyFont="1" applyBorder="1"/>
    <xf numFmtId="0" fontId="2" fillId="1" borderId="0" xfId="0" applyFont="1" applyFill="1" applyBorder="1" applyAlignment="1">
      <alignment horizontal="center"/>
    </xf>
    <xf numFmtId="0" fontId="2" fillId="1" borderId="0" xfId="0" applyFont="1" applyFill="1" applyBorder="1" applyAlignment="1"/>
    <xf numFmtId="0" fontId="6" fillId="17" borderId="0"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wrapText="1"/>
    </xf>
    <xf numFmtId="0" fontId="6" fillId="4" borderId="3" xfId="0" applyFont="1" applyFill="1" applyBorder="1" applyAlignment="1">
      <alignment horizontal="center" vertical="center"/>
    </xf>
    <xf numFmtId="206" fontId="2" fillId="0" borderId="4" xfId="0" applyNumberFormat="1" applyFont="1" applyFill="1" applyBorder="1" applyAlignment="1">
      <alignment horizontal="center" vertical="center"/>
    </xf>
    <xf numFmtId="206" fontId="2" fillId="0" borderId="7" xfId="0" applyNumberFormat="1" applyFont="1" applyFill="1" applyBorder="1" applyAlignment="1">
      <alignment horizontal="center" vertical="center"/>
    </xf>
    <xf numFmtId="0" fontId="2" fillId="5" borderId="8" xfId="0" applyFont="1" applyFill="1" applyBorder="1" applyAlignment="1">
      <alignment horizontal="center" vertical="center"/>
    </xf>
    <xf numFmtId="206" fontId="2" fillId="5" borderId="9" xfId="0" applyNumberFormat="1" applyFont="1" applyFill="1" applyBorder="1" applyAlignment="1">
      <alignment horizontal="center" vertical="center"/>
    </xf>
    <xf numFmtId="218" fontId="2" fillId="5" borderId="9" xfId="0" applyNumberFormat="1" applyFont="1" applyFill="1" applyBorder="1" applyAlignment="1">
      <alignment horizontal="center" vertical="center"/>
    </xf>
    <xf numFmtId="206" fontId="2" fillId="5" borderId="11" xfId="0" applyNumberFormat="1" applyFont="1" applyFill="1" applyBorder="1" applyAlignment="1">
      <alignment horizontal="center" vertical="center"/>
    </xf>
    <xf numFmtId="0" fontId="6" fillId="17" borderId="21" xfId="0" applyFont="1" applyFill="1" applyBorder="1" applyAlignment="1">
      <alignment horizontal="center" vertical="center"/>
    </xf>
    <xf numFmtId="0" fontId="2" fillId="3" borderId="2" xfId="453" applyFont="1" applyFill="1" applyBorder="1" applyAlignment="1">
      <alignment horizontal="center" vertical="center" wrapText="1"/>
    </xf>
    <xf numFmtId="0" fontId="6" fillId="4" borderId="3" xfId="0" applyFont="1" applyFill="1" applyBorder="1" applyAlignment="1">
      <alignment horizontal="right" vertical="center"/>
    </xf>
    <xf numFmtId="218" fontId="2" fillId="0" borderId="4" xfId="0" applyNumberFormat="1" applyFont="1" applyFill="1" applyBorder="1" applyAlignment="1">
      <alignment horizontal="center" vertical="center"/>
    </xf>
    <xf numFmtId="206" fontId="2" fillId="13" borderId="4" xfId="0" applyNumberFormat="1" applyFont="1" applyFill="1" applyBorder="1" applyAlignment="1">
      <alignment horizontal="center" vertical="center"/>
    </xf>
    <xf numFmtId="0" fontId="2" fillId="5" borderId="9" xfId="0" applyFont="1" applyFill="1" applyBorder="1" applyAlignment="1">
      <alignment horizontal="center" vertical="center"/>
    </xf>
    <xf numFmtId="0" fontId="2" fillId="0" borderId="0" xfId="0" applyFont="1" applyAlignment="1">
      <alignment horizontal="center"/>
    </xf>
    <xf numFmtId="215" fontId="6" fillId="3" borderId="2" xfId="0" applyNumberFormat="1" applyFont="1" applyFill="1" applyBorder="1" applyAlignment="1">
      <alignment horizontal="center" vertical="center" wrapText="1"/>
    </xf>
    <xf numFmtId="215" fontId="32" fillId="4" borderId="4" xfId="14" applyNumberFormat="1" applyFont="1" applyFill="1" applyBorder="1" applyAlignment="1">
      <alignment horizontal="center" vertical="center" wrapText="1"/>
    </xf>
    <xf numFmtId="207" fontId="32" fillId="4" borderId="4" xfId="18" applyNumberFormat="1" applyFont="1" applyFill="1" applyBorder="1" applyAlignment="1">
      <alignment horizontal="center" vertical="center" wrapText="1"/>
    </xf>
    <xf numFmtId="187" fontId="32" fillId="4" borderId="4" xfId="0" applyNumberFormat="1" applyFont="1" applyFill="1" applyBorder="1" applyAlignment="1">
      <alignment horizontal="center" vertical="center" wrapText="1"/>
    </xf>
    <xf numFmtId="190" fontId="32" fillId="4" borderId="7" xfId="0" applyNumberFormat="1" applyFont="1" applyFill="1" applyBorder="1" applyAlignment="1">
      <alignment horizontal="center" vertical="center" wrapText="1"/>
    </xf>
    <xf numFmtId="190" fontId="2" fillId="5" borderId="7" xfId="0" applyNumberFormat="1" applyFont="1" applyFill="1" applyBorder="1" applyAlignment="1">
      <alignment horizontal="center" vertical="center" wrapText="1"/>
    </xf>
    <xf numFmtId="9" fontId="2" fillId="3" borderId="4" xfId="18" applyFont="1" applyFill="1" applyBorder="1" applyAlignment="1">
      <alignment horizontal="center" vertical="center" wrapText="1"/>
    </xf>
    <xf numFmtId="187" fontId="2" fillId="3" borderId="4" xfId="111" applyNumberFormat="1" applyFont="1" applyFill="1" applyBorder="1" applyAlignment="1">
      <alignment horizontal="center" vertical="center" wrapText="1"/>
    </xf>
    <xf numFmtId="0" fontId="2" fillId="3" borderId="34" xfId="0" applyFont="1" applyFill="1" applyBorder="1" applyAlignment="1">
      <alignment vertical="center" wrapText="1"/>
    </xf>
    <xf numFmtId="207" fontId="2" fillId="3" borderId="4" xfId="0" applyNumberFormat="1" applyFont="1" applyFill="1" applyBorder="1" applyAlignment="1">
      <alignment horizontal="center" vertical="center" wrapText="1"/>
    </xf>
    <xf numFmtId="187" fontId="2" fillId="24" borderId="4" xfId="0" applyNumberFormat="1" applyFont="1" applyFill="1" applyBorder="1" applyAlignment="1">
      <alignment horizontal="center" vertical="center" wrapText="1"/>
    </xf>
    <xf numFmtId="207" fontId="2" fillId="3" borderId="4" xfId="453" applyNumberFormat="1" applyFont="1" applyFill="1" applyBorder="1" applyAlignment="1">
      <alignment horizontal="center" vertical="center" wrapText="1"/>
    </xf>
    <xf numFmtId="0" fontId="2" fillId="3" borderId="7" xfId="0" applyFont="1" applyFill="1" applyBorder="1" applyAlignment="1">
      <alignment vertical="center" wrapText="1"/>
    </xf>
    <xf numFmtId="187" fontId="2" fillId="3" borderId="26" xfId="0" applyNumberFormat="1" applyFont="1" applyFill="1" applyBorder="1" applyAlignment="1">
      <alignment horizontal="center" vertical="center" wrapText="1"/>
    </xf>
    <xf numFmtId="2" fontId="2" fillId="2" borderId="26" xfId="0" applyNumberFormat="1" applyFont="1" applyFill="1" applyBorder="1" applyAlignment="1">
      <alignment vertical="center" wrapText="1"/>
    </xf>
    <xf numFmtId="9" fontId="2" fillId="2" borderId="26" xfId="18" applyFont="1" applyFill="1" applyBorder="1" applyAlignment="1">
      <alignment horizontal="center" vertical="center" wrapText="1"/>
    </xf>
    <xf numFmtId="0" fontId="2" fillId="0" borderId="26" xfId="0" applyFont="1" applyFill="1" applyBorder="1" applyAlignment="1">
      <alignment vertical="center" wrapText="1"/>
    </xf>
    <xf numFmtId="2" fontId="2" fillId="0" borderId="26" xfId="0" applyNumberFormat="1" applyFont="1" applyFill="1" applyBorder="1" applyAlignment="1">
      <alignment vertical="center" wrapText="1"/>
    </xf>
    <xf numFmtId="0" fontId="2" fillId="2" borderId="34" xfId="0" applyFont="1" applyFill="1" applyBorder="1" applyAlignment="1">
      <alignment vertical="center" wrapText="1"/>
    </xf>
    <xf numFmtId="207" fontId="2" fillId="3" borderId="4" xfId="0" applyNumberFormat="1" applyFont="1" applyFill="1" applyBorder="1" applyAlignment="1">
      <alignment vertical="center" wrapText="1"/>
    </xf>
    <xf numFmtId="215" fontId="32" fillId="4" borderId="12" xfId="14" applyNumberFormat="1" applyFont="1" applyFill="1" applyBorder="1" applyAlignment="1">
      <alignment horizontal="center" vertical="center" wrapText="1"/>
    </xf>
    <xf numFmtId="187" fontId="32" fillId="4" borderId="12" xfId="0" applyNumberFormat="1" applyFont="1" applyFill="1" applyBorder="1" applyAlignment="1">
      <alignment horizontal="center" vertical="center" wrapText="1"/>
    </xf>
    <xf numFmtId="190" fontId="32" fillId="4" borderId="43" xfId="0" applyNumberFormat="1" applyFont="1" applyFill="1" applyBorder="1" applyAlignment="1">
      <alignment horizontal="center" vertical="center" wrapText="1"/>
    </xf>
    <xf numFmtId="187" fontId="2" fillId="2" borderId="4" xfId="0" applyNumberFormat="1" applyFont="1" applyFill="1" applyBorder="1" applyAlignment="1">
      <alignment horizontal="center" vertical="center" wrapText="1"/>
    </xf>
    <xf numFmtId="207" fontId="2" fillId="2" borderId="9" xfId="0" applyNumberFormat="1" applyFont="1" applyFill="1" applyBorder="1" applyAlignment="1">
      <alignment horizontal="center" vertical="center" wrapText="1"/>
    </xf>
    <xf numFmtId="187" fontId="2" fillId="2" borderId="9" xfId="0" applyNumberFormat="1" applyFont="1" applyFill="1" applyBorder="1" applyAlignment="1">
      <alignment horizontal="center" vertical="center" wrapText="1"/>
    </xf>
    <xf numFmtId="0" fontId="2" fillId="25" borderId="0" xfId="0" applyFont="1" applyFill="1" applyBorder="1" applyAlignment="1">
      <alignment horizontal="center"/>
    </xf>
    <xf numFmtId="211" fontId="2" fillId="0" borderId="0" xfId="0" applyNumberFormat="1" applyFont="1"/>
    <xf numFmtId="0" fontId="6" fillId="17" borderId="0" xfId="0" applyFont="1" applyFill="1" applyBorder="1" applyAlignment="1">
      <alignment vertical="center"/>
    </xf>
    <xf numFmtId="0" fontId="2" fillId="0" borderId="0" xfId="0" applyFont="1" applyFill="1" applyBorder="1"/>
    <xf numFmtId="2" fontId="6" fillId="13" borderId="4" xfId="0" applyNumberFormat="1" applyFont="1" applyFill="1" applyBorder="1" applyAlignment="1">
      <alignment horizontal="center" vertical="center"/>
    </xf>
    <xf numFmtId="2" fontId="6" fillId="0" borderId="4" xfId="0" applyNumberFormat="1" applyFont="1" applyFill="1" applyBorder="1" applyAlignment="1">
      <alignment horizontal="center" vertical="center"/>
    </xf>
    <xf numFmtId="206" fontId="6" fillId="0" borderId="4" xfId="0" applyNumberFormat="1" applyFont="1" applyBorder="1" applyAlignment="1">
      <alignment horizontal="center" vertical="center"/>
    </xf>
    <xf numFmtId="2" fontId="6" fillId="0" borderId="0" xfId="0" applyNumberFormat="1" applyFont="1" applyFill="1" applyBorder="1" applyAlignment="1">
      <alignment horizontal="center" vertical="center"/>
    </xf>
    <xf numFmtId="2" fontId="2" fillId="5" borderId="9" xfId="0" applyNumberFormat="1" applyFont="1" applyFill="1" applyBorder="1" applyAlignment="1">
      <alignment horizontal="center" vertical="center"/>
    </xf>
    <xf numFmtId="2" fontId="2" fillId="0" borderId="0" xfId="0" applyNumberFormat="1" applyFont="1" applyFill="1" applyBorder="1" applyAlignment="1">
      <alignment horizontal="center" vertical="center"/>
    </xf>
    <xf numFmtId="0" fontId="2" fillId="26" borderId="0" xfId="0" applyFont="1" applyFill="1" applyBorder="1" applyAlignment="1">
      <alignment horizontal="center"/>
    </xf>
    <xf numFmtId="206" fontId="6" fillId="5" borderId="9" xfId="0" applyNumberFormat="1" applyFont="1" applyFill="1" applyBorder="1" applyAlignment="1">
      <alignment horizontal="center" vertical="center"/>
    </xf>
    <xf numFmtId="0" fontId="55" fillId="2" borderId="0" xfId="0" applyFont="1" applyFill="1" applyAlignment="1">
      <alignment horizontal="center" vertical="center"/>
    </xf>
    <xf numFmtId="0" fontId="37" fillId="0" borderId="0" xfId="0" applyFont="1"/>
    <xf numFmtId="0" fontId="2" fillId="2" borderId="0" xfId="0" applyFont="1" applyFill="1"/>
    <xf numFmtId="194" fontId="2" fillId="3" borderId="1" xfId="14" applyNumberFormat="1" applyFont="1" applyFill="1" applyBorder="1" applyAlignment="1">
      <alignment horizontal="center" vertical="center"/>
    </xf>
    <xf numFmtId="194" fontId="2" fillId="3" borderId="2" xfId="14" applyNumberFormat="1" applyFont="1" applyFill="1" applyBorder="1" applyAlignment="1">
      <alignment horizontal="center" vertical="center"/>
    </xf>
    <xf numFmtId="194" fontId="2" fillId="0" borderId="44" xfId="0" applyNumberFormat="1" applyFont="1" applyFill="1" applyBorder="1" applyAlignment="1">
      <alignment horizontal="center" vertical="center" wrapText="1"/>
    </xf>
    <xf numFmtId="194" fontId="2" fillId="2" borderId="2" xfId="0" applyNumberFormat="1" applyFont="1" applyFill="1" applyBorder="1" applyAlignment="1">
      <alignment horizontal="center" vertical="center" wrapText="1"/>
    </xf>
    <xf numFmtId="194" fontId="2" fillId="3" borderId="2" xfId="0" applyNumberFormat="1" applyFont="1" applyFill="1" applyBorder="1" applyAlignment="1">
      <alignment horizontal="center" vertical="center" wrapText="1"/>
    </xf>
    <xf numFmtId="194" fontId="2" fillId="3" borderId="3" xfId="14" applyNumberFormat="1" applyFont="1" applyFill="1" applyBorder="1" applyAlignment="1">
      <alignment horizontal="center" vertical="center"/>
    </xf>
    <xf numFmtId="194" fontId="2" fillId="3" borderId="4" xfId="14" applyNumberFormat="1" applyFont="1" applyFill="1" applyBorder="1" applyAlignment="1">
      <alignment horizontal="center" vertical="center"/>
    </xf>
    <xf numFmtId="194" fontId="2" fillId="0" borderId="4" xfId="0" applyNumberFormat="1" applyFont="1" applyFill="1" applyBorder="1" applyAlignment="1">
      <alignment horizontal="center" vertical="center" wrapText="1"/>
    </xf>
    <xf numFmtId="194" fontId="2" fillId="2" borderId="4" xfId="0" applyNumberFormat="1" applyFont="1" applyFill="1" applyBorder="1" applyAlignment="1">
      <alignment horizontal="center" vertical="center" wrapText="1"/>
    </xf>
    <xf numFmtId="194" fontId="2" fillId="3" borderId="4" xfId="0" applyNumberFormat="1" applyFont="1" applyFill="1" applyBorder="1" applyAlignment="1">
      <alignment horizontal="center" vertical="center" wrapText="1"/>
    </xf>
    <xf numFmtId="194" fontId="2" fillId="3" borderId="3" xfId="14" applyNumberFormat="1" applyFont="1" applyFill="1" applyBorder="1" applyAlignment="1">
      <alignment horizontal="center" vertical="center" wrapText="1"/>
    </xf>
    <xf numFmtId="194" fontId="2" fillId="3" borderId="4" xfId="14" applyNumberFormat="1" applyFont="1" applyFill="1" applyBorder="1" applyAlignment="1">
      <alignment horizontal="center" vertical="center" wrapText="1"/>
    </xf>
    <xf numFmtId="194" fontId="2" fillId="3" borderId="3" xfId="0" applyNumberFormat="1" applyFont="1" applyFill="1" applyBorder="1" applyAlignment="1">
      <alignment horizontal="center" vertical="center"/>
    </xf>
    <xf numFmtId="194" fontId="2" fillId="3" borderId="5" xfId="0" applyNumberFormat="1" applyFont="1" applyFill="1" applyBorder="1" applyAlignment="1">
      <alignment horizontal="center" vertical="center"/>
    </xf>
    <xf numFmtId="194" fontId="2" fillId="3" borderId="45" xfId="0" applyNumberFormat="1" applyFont="1" applyFill="1" applyBorder="1" applyAlignment="1">
      <alignment horizontal="center" vertical="center"/>
    </xf>
    <xf numFmtId="194" fontId="2" fillId="3" borderId="14" xfId="0" applyNumberFormat="1" applyFont="1" applyFill="1" applyBorder="1" applyAlignment="1">
      <alignment horizontal="center" vertical="center"/>
    </xf>
    <xf numFmtId="194" fontId="2" fillId="0" borderId="3" xfId="0" applyNumberFormat="1" applyFont="1" applyFill="1" applyBorder="1" applyAlignment="1">
      <alignment horizontal="center" vertical="center"/>
    </xf>
    <xf numFmtId="194" fontId="2" fillId="0" borderId="5" xfId="0" applyNumberFormat="1" applyFont="1" applyFill="1" applyBorder="1" applyAlignment="1">
      <alignment horizontal="center" vertical="center"/>
    </xf>
    <xf numFmtId="194" fontId="2" fillId="0" borderId="46" xfId="0" applyNumberFormat="1" applyFont="1" applyFill="1" applyBorder="1" applyAlignment="1">
      <alignment horizontal="center" vertical="center"/>
    </xf>
    <xf numFmtId="194" fontId="2" fillId="0" borderId="0" xfId="0" applyNumberFormat="1" applyFont="1" applyFill="1" applyBorder="1" applyAlignment="1">
      <alignment horizontal="center" vertical="center"/>
    </xf>
    <xf numFmtId="194" fontId="2" fillId="0" borderId="8" xfId="0" applyNumberFormat="1" applyFont="1" applyFill="1" applyBorder="1" applyAlignment="1">
      <alignment horizontal="center" vertical="center"/>
    </xf>
    <xf numFmtId="194" fontId="2" fillId="0" borderId="10" xfId="0" applyNumberFormat="1" applyFont="1" applyFill="1" applyBorder="1" applyAlignment="1">
      <alignment horizontal="center" vertical="center"/>
    </xf>
    <xf numFmtId="194" fontId="2" fillId="0" borderId="47" xfId="0" applyNumberFormat="1" applyFont="1" applyFill="1" applyBorder="1" applyAlignment="1">
      <alignment horizontal="center" vertical="center"/>
    </xf>
    <xf numFmtId="194" fontId="2" fillId="0" borderId="21" xfId="0" applyNumberFormat="1" applyFont="1" applyFill="1" applyBorder="1" applyAlignment="1">
      <alignment horizontal="center" vertical="center"/>
    </xf>
    <xf numFmtId="0" fontId="37" fillId="0" borderId="0" xfId="0" applyFont="1" applyBorder="1"/>
    <xf numFmtId="194" fontId="2" fillId="0" borderId="0" xfId="0" applyNumberFormat="1" applyFont="1" applyFill="1" applyBorder="1" applyAlignment="1">
      <alignment horizontal="left" vertical="center"/>
    </xf>
    <xf numFmtId="194" fontId="37" fillId="0" borderId="0" xfId="0" applyNumberFormat="1" applyFont="1"/>
    <xf numFmtId="194" fontId="2" fillId="0" borderId="0" xfId="0" applyNumberFormat="1" applyFont="1"/>
    <xf numFmtId="194" fontId="2" fillId="1" borderId="3" xfId="0" applyNumberFormat="1" applyFont="1" applyFill="1" applyBorder="1" applyAlignment="1">
      <alignment horizontal="center" vertical="center"/>
    </xf>
    <xf numFmtId="194" fontId="2" fillId="1" borderId="4" xfId="0" applyNumberFormat="1" applyFont="1" applyFill="1" applyBorder="1" applyAlignment="1">
      <alignment horizontal="center" vertical="center"/>
    </xf>
    <xf numFmtId="194" fontId="6" fillId="4" borderId="3" xfId="0" applyNumberFormat="1" applyFont="1" applyFill="1" applyBorder="1" applyAlignment="1">
      <alignment horizontal="center" vertical="center" wrapText="1"/>
    </xf>
    <xf numFmtId="194" fontId="6" fillId="4" borderId="4" xfId="0" applyNumberFormat="1" applyFont="1" applyFill="1" applyBorder="1" applyAlignment="1">
      <alignment horizontal="center" vertical="center" wrapText="1"/>
    </xf>
    <xf numFmtId="194" fontId="2" fillId="0" borderId="33" xfId="0" applyNumberFormat="1" applyFont="1" applyFill="1" applyBorder="1" applyAlignment="1">
      <alignment horizontal="center" vertical="center" textRotation="255" wrapText="1"/>
    </xf>
    <xf numFmtId="194" fontId="2" fillId="0" borderId="4" xfId="0" applyNumberFormat="1" applyFont="1" applyFill="1" applyBorder="1" applyAlignment="1">
      <alignment horizontal="left" vertical="center" wrapText="1"/>
    </xf>
    <xf numFmtId="194" fontId="2" fillId="0" borderId="4" xfId="0" applyNumberFormat="1" applyFont="1" applyBorder="1" applyAlignment="1">
      <alignment horizontal="center" vertical="center" wrapText="1"/>
    </xf>
    <xf numFmtId="194" fontId="2" fillId="0" borderId="4" xfId="0" applyNumberFormat="1" applyFont="1" applyFill="1" applyBorder="1" applyAlignment="1">
      <alignment vertical="center" wrapText="1"/>
    </xf>
    <xf numFmtId="194" fontId="2" fillId="0" borderId="48" xfId="0" applyNumberFormat="1" applyFont="1" applyFill="1" applyBorder="1" applyAlignment="1">
      <alignment horizontal="center" vertical="center" textRotation="255" wrapText="1"/>
    </xf>
    <xf numFmtId="203" fontId="2" fillId="0" borderId="4" xfId="0" applyNumberFormat="1" applyFont="1" applyFill="1" applyBorder="1" applyAlignment="1">
      <alignment horizontal="center" vertical="center" wrapText="1"/>
    </xf>
    <xf numFmtId="194" fontId="56" fillId="0" borderId="4" xfId="0" applyNumberFormat="1" applyFont="1" applyFill="1" applyBorder="1" applyAlignment="1">
      <alignment horizontal="center" vertical="center" wrapText="1"/>
    </xf>
    <xf numFmtId="194" fontId="56" fillId="0" borderId="4" xfId="0" applyNumberFormat="1" applyFont="1" applyBorder="1" applyAlignment="1">
      <alignment horizontal="center" vertical="center" wrapText="1"/>
    </xf>
    <xf numFmtId="194" fontId="2" fillId="0" borderId="42" xfId="0" applyNumberFormat="1" applyFont="1" applyFill="1" applyBorder="1" applyAlignment="1">
      <alignment horizontal="center" vertical="center" textRotation="255" wrapText="1"/>
    </xf>
    <xf numFmtId="194" fontId="2" fillId="5" borderId="4" xfId="0" applyNumberFormat="1" applyFont="1" applyFill="1" applyBorder="1" applyAlignment="1">
      <alignment horizontal="center" vertical="center" wrapText="1"/>
    </xf>
    <xf numFmtId="194" fontId="0" fillId="0" borderId="48" xfId="0" applyNumberFormat="1" applyBorder="1"/>
    <xf numFmtId="194" fontId="2" fillId="0" borderId="4" xfId="20" applyNumberFormat="1" applyFont="1" applyFill="1" applyBorder="1" applyAlignment="1">
      <alignment horizontal="left" vertical="center" wrapText="1"/>
    </xf>
    <xf numFmtId="194" fontId="2" fillId="15" borderId="4" xfId="0" applyNumberFormat="1" applyFont="1" applyFill="1" applyBorder="1" applyAlignment="1">
      <alignment horizontal="center" vertical="center" wrapText="1"/>
    </xf>
    <xf numFmtId="194" fontId="2" fillId="15" borderId="4" xfId="0" applyNumberFormat="1" applyFont="1" applyFill="1" applyBorder="1" applyAlignment="1">
      <alignment vertical="center" wrapText="1"/>
    </xf>
    <xf numFmtId="194" fontId="0" fillId="0" borderId="42" xfId="0" applyNumberFormat="1" applyBorder="1"/>
    <xf numFmtId="194" fontId="2" fillId="0" borderId="3" xfId="0" applyNumberFormat="1" applyFont="1" applyFill="1" applyBorder="1" applyAlignment="1">
      <alignment horizontal="center" vertical="center" wrapText="1"/>
    </xf>
    <xf numFmtId="194" fontId="2" fillId="0" borderId="4" xfId="0" applyNumberFormat="1" applyFont="1" applyFill="1" applyBorder="1" applyAlignment="1">
      <alignment horizontal="center" vertical="center"/>
    </xf>
    <xf numFmtId="194" fontId="2" fillId="0" borderId="4" xfId="0" applyNumberFormat="1" applyFont="1" applyFill="1" applyBorder="1" applyAlignment="1">
      <alignment horizontal="left" vertical="center"/>
    </xf>
    <xf numFmtId="194" fontId="2" fillId="5" borderId="4" xfId="0" applyNumberFormat="1" applyFont="1" applyFill="1" applyBorder="1" applyAlignment="1">
      <alignment horizontal="center" vertical="center"/>
    </xf>
    <xf numFmtId="194" fontId="2" fillId="5" borderId="4" xfId="0" applyNumberFormat="1" applyFont="1" applyFill="1" applyBorder="1" applyAlignment="1">
      <alignment vertical="center" wrapText="1"/>
    </xf>
    <xf numFmtId="194" fontId="2" fillId="0" borderId="40" xfId="0" applyNumberFormat="1" applyFont="1" applyFill="1" applyBorder="1" applyAlignment="1">
      <alignment horizontal="center" vertical="center" wrapText="1"/>
    </xf>
    <xf numFmtId="194" fontId="6" fillId="4" borderId="40" xfId="0" applyNumberFormat="1" applyFont="1" applyFill="1" applyBorder="1" applyAlignment="1">
      <alignment horizontal="center" vertical="center" wrapText="1"/>
    </xf>
    <xf numFmtId="194" fontId="6" fillId="4" borderId="20" xfId="0" applyNumberFormat="1" applyFont="1" applyFill="1" applyBorder="1" applyAlignment="1">
      <alignment horizontal="center" vertical="center" wrapText="1"/>
    </xf>
    <xf numFmtId="194" fontId="6" fillId="4" borderId="4" xfId="0" applyNumberFormat="1" applyFont="1" applyFill="1" applyBorder="1" applyAlignment="1">
      <alignment vertical="center" wrapText="1"/>
    </xf>
    <xf numFmtId="194" fontId="6" fillId="0" borderId="4" xfId="0" applyNumberFormat="1" applyFont="1" applyFill="1" applyBorder="1" applyAlignment="1">
      <alignment horizontal="center" vertical="center" wrapText="1"/>
    </xf>
    <xf numFmtId="194" fontId="2" fillId="0" borderId="4" xfId="0" applyNumberFormat="1" applyFont="1" applyBorder="1" applyAlignment="1">
      <alignment vertical="center" wrapText="1"/>
    </xf>
    <xf numFmtId="194" fontId="2" fillId="0" borderId="4" xfId="0" applyNumberFormat="1" applyFont="1" applyFill="1" applyBorder="1" applyAlignment="1">
      <alignment horizontal="right" vertical="center" wrapText="1"/>
    </xf>
    <xf numFmtId="194" fontId="53" fillId="27" borderId="4" xfId="0" applyNumberFormat="1" applyFont="1" applyFill="1" applyBorder="1" applyAlignment="1">
      <alignment horizontal="center" vertical="center" wrapText="1"/>
    </xf>
    <xf numFmtId="194" fontId="57" fillId="4" borderId="8" xfId="0" applyNumberFormat="1" applyFont="1" applyFill="1" applyBorder="1" applyAlignment="1">
      <alignment horizontal="center" vertical="center"/>
    </xf>
    <xf numFmtId="194" fontId="57" fillId="4" borderId="9" xfId="0" applyNumberFormat="1" applyFont="1" applyFill="1" applyBorder="1" applyAlignment="1">
      <alignment horizontal="center" vertical="center"/>
    </xf>
    <xf numFmtId="194" fontId="58" fillId="4" borderId="9" xfId="0" applyNumberFormat="1" applyFont="1" applyFill="1" applyBorder="1" applyAlignment="1">
      <alignment horizontal="center" vertical="center" wrapText="1"/>
    </xf>
    <xf numFmtId="194" fontId="6" fillId="4" borderId="9" xfId="0" applyNumberFormat="1" applyFont="1" applyFill="1" applyBorder="1" applyAlignment="1">
      <alignment vertical="center" wrapText="1"/>
    </xf>
    <xf numFmtId="206" fontId="2" fillId="2" borderId="0" xfId="0" applyNumberFormat="1" applyFont="1" applyFill="1"/>
    <xf numFmtId="0" fontId="2" fillId="2" borderId="4" xfId="42" applyFont="1" applyFill="1" applyBorder="1" applyAlignment="1">
      <alignment vertical="center"/>
    </xf>
    <xf numFmtId="0" fontId="2" fillId="2" borderId="4" xfId="42" applyFont="1" applyFill="1" applyBorder="1" applyAlignment="1">
      <alignment vertical="center" wrapText="1"/>
    </xf>
    <xf numFmtId="194" fontId="2" fillId="2" borderId="4" xfId="42" applyNumberFormat="1" applyFont="1" applyFill="1" applyBorder="1" applyAlignment="1">
      <alignment vertical="center"/>
    </xf>
    <xf numFmtId="0" fontId="2" fillId="13" borderId="4" xfId="42" applyFont="1" applyFill="1" applyBorder="1" applyAlignment="1">
      <alignment vertical="center"/>
    </xf>
    <xf numFmtId="194" fontId="2" fillId="2" borderId="2" xfId="0" applyNumberFormat="1" applyFont="1" applyFill="1" applyBorder="1" applyAlignment="1">
      <alignment horizontal="left" vertical="center" wrapText="1"/>
    </xf>
    <xf numFmtId="194" fontId="2" fillId="3" borderId="2" xfId="0" applyNumberFormat="1" applyFont="1" applyFill="1" applyBorder="1" applyAlignment="1">
      <alignment horizontal="center" vertical="center"/>
    </xf>
    <xf numFmtId="194" fontId="2" fillId="2" borderId="44" xfId="0" applyNumberFormat="1" applyFont="1" applyFill="1" applyBorder="1" applyAlignment="1">
      <alignment horizontal="center" vertical="center" wrapText="1"/>
    </xf>
    <xf numFmtId="194" fontId="2" fillId="2" borderId="6" xfId="0" applyNumberFormat="1" applyFont="1" applyFill="1" applyBorder="1" applyAlignment="1">
      <alignment horizontal="left" vertical="center" wrapText="1"/>
    </xf>
    <xf numFmtId="194" fontId="2" fillId="2" borderId="0" xfId="0" applyNumberFormat="1" applyFont="1" applyFill="1"/>
    <xf numFmtId="193" fontId="2" fillId="0" borderId="4" xfId="18" applyNumberFormat="1" applyFont="1" applyFill="1" applyBorder="1" applyAlignment="1">
      <alignment horizontal="center" vertical="center" wrapText="1"/>
    </xf>
    <xf numFmtId="194" fontId="2" fillId="3" borderId="4" xfId="0" applyNumberFormat="1" applyFont="1" applyFill="1" applyBorder="1" applyAlignment="1">
      <alignment horizontal="center" vertical="center"/>
    </xf>
    <xf numFmtId="193" fontId="2" fillId="0" borderId="4" xfId="18" applyNumberFormat="1" applyFont="1" applyFill="1" applyBorder="1" applyAlignment="1">
      <alignment horizontal="center" vertical="center"/>
    </xf>
    <xf numFmtId="193" fontId="2" fillId="0" borderId="7" xfId="18" applyNumberFormat="1" applyFont="1" applyFill="1" applyBorder="1" applyAlignment="1">
      <alignment horizontal="center" vertical="center"/>
    </xf>
    <xf numFmtId="206" fontId="2" fillId="0" borderId="4" xfId="0" applyNumberFormat="1" applyFont="1" applyFill="1" applyBorder="1" applyAlignment="1">
      <alignment horizontal="center" vertical="center" wrapText="1"/>
    </xf>
    <xf numFmtId="194" fontId="2" fillId="2" borderId="7" xfId="0" applyNumberFormat="1" applyFont="1" applyFill="1" applyBorder="1" applyAlignment="1">
      <alignment horizontal="left" vertical="center" wrapText="1"/>
    </xf>
    <xf numFmtId="194" fontId="2" fillId="3" borderId="49" xfId="0" applyNumberFormat="1" applyFont="1" applyFill="1" applyBorder="1" applyAlignment="1">
      <alignment horizontal="center" vertical="center"/>
    </xf>
    <xf numFmtId="194" fontId="2" fillId="3" borderId="20" xfId="0" applyNumberFormat="1" applyFont="1" applyFill="1" applyBorder="1" applyAlignment="1">
      <alignment horizontal="center" vertical="center"/>
    </xf>
    <xf numFmtId="194" fontId="1" fillId="3" borderId="5" xfId="0" applyNumberFormat="1" applyFont="1" applyFill="1" applyBorder="1" applyAlignment="1">
      <alignment horizontal="center" vertical="center"/>
    </xf>
    <xf numFmtId="194" fontId="1" fillId="3" borderId="37" xfId="0" applyNumberFormat="1" applyFont="1" applyFill="1" applyBorder="1" applyAlignment="1">
      <alignment horizontal="center" vertical="center"/>
    </xf>
    <xf numFmtId="194" fontId="1" fillId="3" borderId="31" xfId="0" applyNumberFormat="1" applyFont="1" applyFill="1" applyBorder="1" applyAlignment="1">
      <alignment horizontal="center" vertical="center"/>
    </xf>
    <xf numFmtId="194" fontId="55" fillId="2" borderId="0" xfId="0" applyNumberFormat="1" applyFont="1" applyFill="1" applyAlignment="1">
      <alignment horizontal="center" vertical="center"/>
    </xf>
    <xf numFmtId="194" fontId="1" fillId="0" borderId="0" xfId="164" applyNumberFormat="1" applyFont="1" applyFill="1" applyBorder="1" applyAlignment="1">
      <alignment horizontal="center" vertical="center"/>
    </xf>
    <xf numFmtId="194" fontId="1" fillId="0" borderId="50" xfId="164" applyNumberFormat="1" applyFont="1" applyFill="1" applyBorder="1" applyAlignment="1">
      <alignment horizontal="center" vertical="center"/>
    </xf>
    <xf numFmtId="194" fontId="1" fillId="0" borderId="51" xfId="164" applyNumberFormat="1" applyFont="1" applyFill="1" applyBorder="1" applyAlignment="1">
      <alignment horizontal="center" vertical="center"/>
    </xf>
    <xf numFmtId="194" fontId="1" fillId="0" borderId="26" xfId="164" applyNumberFormat="1" applyFont="1" applyFill="1" applyBorder="1" applyAlignment="1">
      <alignment horizontal="center" vertical="center"/>
    </xf>
    <xf numFmtId="194" fontId="1" fillId="0" borderId="4" xfId="164" applyNumberFormat="1" applyFont="1" applyFill="1" applyBorder="1" applyAlignment="1">
      <alignment horizontal="center" vertical="center"/>
    </xf>
    <xf numFmtId="194" fontId="1" fillId="0" borderId="7" xfId="164" applyNumberFormat="1" applyFont="1" applyFill="1" applyBorder="1" applyAlignment="1">
      <alignment horizontal="center" vertical="center"/>
    </xf>
    <xf numFmtId="194" fontId="2" fillId="3" borderId="7" xfId="0" applyNumberFormat="1" applyFont="1" applyFill="1" applyBorder="1" applyAlignment="1">
      <alignment vertical="center"/>
    </xf>
    <xf numFmtId="194" fontId="2" fillId="2" borderId="0" xfId="0" applyNumberFormat="1" applyFont="1" applyFill="1" applyBorder="1" applyAlignment="1">
      <alignment horizontal="center" vertical="center"/>
    </xf>
    <xf numFmtId="194" fontId="2" fillId="0" borderId="52" xfId="0" applyNumberFormat="1" applyFont="1" applyFill="1" applyBorder="1" applyAlignment="1">
      <alignment horizontal="center" vertical="center"/>
    </xf>
    <xf numFmtId="194" fontId="2" fillId="0" borderId="24" xfId="0" applyNumberFormat="1" applyFont="1" applyFill="1" applyBorder="1" applyAlignment="1">
      <alignment horizontal="center" vertical="center"/>
    </xf>
    <xf numFmtId="194" fontId="2" fillId="0" borderId="9" xfId="0" applyNumberFormat="1" applyFont="1" applyFill="1" applyBorder="1" applyAlignment="1">
      <alignment horizontal="center" vertical="center"/>
    </xf>
    <xf numFmtId="194" fontId="2" fillId="0" borderId="11" xfId="0" applyNumberFormat="1" applyFont="1" applyFill="1" applyBorder="1" applyAlignment="1">
      <alignment horizontal="center" vertical="center"/>
    </xf>
    <xf numFmtId="194" fontId="37" fillId="0" borderId="0" xfId="0" applyNumberFormat="1" applyFont="1" applyBorder="1"/>
    <xf numFmtId="194" fontId="2" fillId="0" borderId="53" xfId="0" applyNumberFormat="1" applyFont="1" applyFill="1" applyBorder="1" applyAlignment="1">
      <alignment horizontal="center" vertical="center"/>
    </xf>
    <xf numFmtId="194" fontId="2" fillId="1" borderId="7" xfId="0" applyNumberFormat="1" applyFont="1" applyFill="1" applyBorder="1" applyAlignment="1">
      <alignment horizontal="center" vertical="center"/>
    </xf>
    <xf numFmtId="194" fontId="6" fillId="4" borderId="5" xfId="0" applyNumberFormat="1" applyFont="1" applyFill="1" applyBorder="1" applyAlignment="1">
      <alignment vertical="center" wrapText="1"/>
    </xf>
    <xf numFmtId="194" fontId="4" fillId="4" borderId="4" xfId="0" applyNumberFormat="1" applyFont="1" applyFill="1" applyBorder="1" applyAlignment="1">
      <alignment horizontal="center" vertical="center" wrapText="1"/>
    </xf>
    <xf numFmtId="194" fontId="6" fillId="4" borderId="2" xfId="0" applyNumberFormat="1" applyFont="1" applyFill="1" applyBorder="1" applyAlignment="1">
      <alignment horizontal="center" vertical="center" wrapText="1"/>
    </xf>
    <xf numFmtId="194" fontId="2" fillId="0" borderId="5" xfId="0" applyNumberFormat="1" applyFont="1" applyFill="1" applyBorder="1" applyAlignment="1">
      <alignment horizontal="center" vertical="center" wrapText="1"/>
    </xf>
    <xf numFmtId="194" fontId="1" fillId="0" borderId="5" xfId="0" applyNumberFormat="1" applyFont="1" applyFill="1" applyBorder="1" applyAlignment="1">
      <alignment horizontal="center" vertical="center" wrapText="1"/>
    </xf>
    <xf numFmtId="9" fontId="1" fillId="0" borderId="5" xfId="18" applyFont="1" applyFill="1" applyBorder="1" applyAlignment="1">
      <alignment horizontal="center" vertical="center" wrapText="1"/>
    </xf>
    <xf numFmtId="194" fontId="37" fillId="0" borderId="4" xfId="0" applyNumberFormat="1" applyFont="1" applyFill="1" applyBorder="1" applyAlignment="1">
      <alignment horizontal="center" vertical="center" wrapText="1"/>
    </xf>
    <xf numFmtId="9" fontId="59" fillId="0" borderId="4" xfId="18" applyFont="1" applyFill="1" applyBorder="1" applyAlignment="1">
      <alignment horizontal="center" vertical="center" wrapText="1"/>
    </xf>
    <xf numFmtId="203" fontId="2" fillId="0" borderId="4" xfId="0" applyNumberFormat="1" applyFont="1" applyBorder="1" applyAlignment="1">
      <alignment horizontal="center" vertical="center" wrapText="1"/>
    </xf>
    <xf numFmtId="9" fontId="2" fillId="5" borderId="5" xfId="18" applyFont="1" applyFill="1" applyBorder="1" applyAlignment="1">
      <alignment horizontal="center" vertical="center" wrapText="1"/>
    </xf>
    <xf numFmtId="194" fontId="2" fillId="5" borderId="20" xfId="0" applyNumberFormat="1" applyFont="1" applyFill="1" applyBorder="1" applyAlignment="1">
      <alignment vertical="center"/>
    </xf>
    <xf numFmtId="194" fontId="7" fillId="0" borderId="4" xfId="0" applyNumberFormat="1" applyFont="1" applyFill="1" applyBorder="1" applyAlignment="1">
      <alignment vertical="center" wrapText="1"/>
    </xf>
    <xf numFmtId="194" fontId="2" fillId="0" borderId="20" xfId="0" applyNumberFormat="1" applyFont="1" applyFill="1" applyBorder="1" applyAlignment="1">
      <alignment vertical="center"/>
    </xf>
    <xf numFmtId="194" fontId="2" fillId="5" borderId="5" xfId="18" applyNumberFormat="1" applyFont="1" applyFill="1" applyBorder="1" applyAlignment="1">
      <alignment horizontal="center" vertical="center" wrapText="1"/>
    </xf>
    <xf numFmtId="194" fontId="7" fillId="5" borderId="4" xfId="0" applyNumberFormat="1" applyFont="1" applyFill="1" applyBorder="1" applyAlignment="1">
      <alignment vertical="center" wrapText="1"/>
    </xf>
    <xf numFmtId="194" fontId="7" fillId="2" borderId="27" xfId="0" applyNumberFormat="1" applyFont="1" applyFill="1" applyBorder="1" applyAlignment="1">
      <alignment horizontal="center" vertical="center" wrapText="1"/>
    </xf>
    <xf numFmtId="194" fontId="7" fillId="0" borderId="4" xfId="0" applyNumberFormat="1" applyFont="1" applyFill="1" applyBorder="1" applyAlignment="1">
      <alignment horizontal="left" vertical="center" wrapText="1"/>
    </xf>
    <xf numFmtId="194" fontId="7" fillId="0" borderId="7" xfId="0" applyNumberFormat="1" applyFont="1" applyFill="1" applyBorder="1" applyAlignment="1">
      <alignment horizontal="left" vertical="center" wrapText="1"/>
    </xf>
    <xf numFmtId="194" fontId="7" fillId="5" borderId="4" xfId="0" applyNumberFormat="1" applyFont="1" applyFill="1" applyBorder="1" applyAlignment="1">
      <alignment horizontal="left" vertical="center" wrapText="1"/>
    </xf>
    <xf numFmtId="194" fontId="7" fillId="5" borderId="7" xfId="0" applyNumberFormat="1" applyFont="1" applyFill="1" applyBorder="1" applyAlignment="1">
      <alignment horizontal="left" vertical="center" wrapText="1"/>
    </xf>
    <xf numFmtId="194" fontId="7" fillId="0" borderId="4" xfId="0" applyNumberFormat="1" applyFont="1" applyFill="1" applyBorder="1" applyAlignment="1">
      <alignment horizontal="left" vertical="center"/>
    </xf>
    <xf numFmtId="194" fontId="7" fillId="0" borderId="7" xfId="0" applyNumberFormat="1" applyFont="1" applyFill="1" applyBorder="1" applyAlignment="1">
      <alignment horizontal="left" vertical="center"/>
    </xf>
    <xf numFmtId="194" fontId="2" fillId="27" borderId="4" xfId="0" applyNumberFormat="1" applyFont="1" applyFill="1" applyBorder="1" applyAlignment="1">
      <alignment horizontal="center" vertical="center" wrapText="1"/>
    </xf>
    <xf numFmtId="194" fontId="58" fillId="4" borderId="9" xfId="0" applyNumberFormat="1" applyFont="1" applyFill="1" applyBorder="1" applyAlignment="1">
      <alignment horizontal="center" vertical="center"/>
    </xf>
    <xf numFmtId="194" fontId="2" fillId="4" borderId="9" xfId="18" applyNumberFormat="1" applyFont="1" applyFill="1" applyBorder="1" applyAlignment="1">
      <alignment horizontal="center" vertical="center" wrapText="1"/>
    </xf>
    <xf numFmtId="194" fontId="58" fillId="9" borderId="54" xfId="0" applyNumberFormat="1" applyFont="1" applyFill="1" applyBorder="1" applyAlignment="1">
      <alignment horizontal="center" vertical="center"/>
    </xf>
    <xf numFmtId="194" fontId="58" fillId="9" borderId="55" xfId="0" applyNumberFormat="1" applyFont="1" applyFill="1" applyBorder="1" applyAlignment="1">
      <alignment horizontal="center" vertical="center"/>
    </xf>
    <xf numFmtId="10" fontId="2" fillId="2" borderId="0" xfId="0" applyNumberFormat="1" applyFont="1" applyFill="1"/>
    <xf numFmtId="187" fontId="2" fillId="2" borderId="0" xfId="0" applyNumberFormat="1" applyFont="1" applyFill="1"/>
    <xf numFmtId="0" fontId="2" fillId="2" borderId="0" xfId="0" applyFont="1" applyFill="1" applyBorder="1" applyAlignment="1">
      <alignment horizontal="center" vertical="center"/>
    </xf>
    <xf numFmtId="0" fontId="2" fillId="0" borderId="0" xfId="0" applyFont="1" applyBorder="1" applyAlignment="1"/>
    <xf numFmtId="0" fontId="37" fillId="0" borderId="0" xfId="0" applyFont="1" applyBorder="1" applyAlignment="1">
      <alignment vertical="center"/>
    </xf>
    <xf numFmtId="0" fontId="37" fillId="0" borderId="0" xfId="0" applyFont="1" applyBorder="1" applyAlignment="1">
      <alignment horizontal="center"/>
    </xf>
    <xf numFmtId="199" fontId="6" fillId="4" borderId="6" xfId="0" applyNumberFormat="1" applyFont="1" applyFill="1" applyBorder="1" applyAlignment="1">
      <alignment horizontal="center" vertical="center" wrapText="1"/>
    </xf>
    <xf numFmtId="0" fontId="6" fillId="4" borderId="29" xfId="0" applyFont="1" applyFill="1" applyBorder="1" applyAlignment="1">
      <alignment horizontal="center" vertical="center" wrapText="1"/>
    </xf>
    <xf numFmtId="194" fontId="2" fillId="0" borderId="7" xfId="0" applyNumberFormat="1" applyFont="1" applyBorder="1" applyAlignment="1">
      <alignment horizontal="center" vertical="center" wrapText="1"/>
    </xf>
    <xf numFmtId="0" fontId="2" fillId="2" borderId="31" xfId="0" applyFont="1" applyFill="1" applyBorder="1" applyAlignment="1">
      <alignment vertical="center"/>
    </xf>
    <xf numFmtId="215" fontId="2" fillId="0" borderId="4" xfId="0" applyNumberFormat="1" applyFont="1" applyFill="1" applyBorder="1" applyAlignment="1">
      <alignment horizontal="center" vertical="center" wrapText="1"/>
    </xf>
    <xf numFmtId="10" fontId="2" fillId="0" borderId="31" xfId="0" applyNumberFormat="1" applyFont="1" applyFill="1" applyBorder="1" applyAlignment="1">
      <alignment vertical="center"/>
    </xf>
    <xf numFmtId="10" fontId="2" fillId="0" borderId="0" xfId="0" applyNumberFormat="1" applyFont="1" applyFill="1"/>
    <xf numFmtId="215" fontId="2" fillId="0" borderId="7" xfId="0" applyNumberFormat="1" applyFont="1" applyFill="1" applyBorder="1" applyAlignment="1">
      <alignment horizontal="center" vertical="center" wrapText="1"/>
    </xf>
    <xf numFmtId="0" fontId="2" fillId="5" borderId="7" xfId="0" applyFont="1" applyFill="1" applyBorder="1" applyAlignment="1">
      <alignment vertical="center"/>
    </xf>
    <xf numFmtId="0" fontId="2" fillId="5" borderId="31" xfId="0" applyFont="1" applyFill="1" applyBorder="1" applyAlignment="1">
      <alignment vertical="center"/>
    </xf>
    <xf numFmtId="0" fontId="2" fillId="0" borderId="7" xfId="0" applyFont="1" applyFill="1" applyBorder="1" applyAlignment="1">
      <alignment vertical="center"/>
    </xf>
    <xf numFmtId="0" fontId="2" fillId="0" borderId="31" xfId="0" applyFont="1" applyFill="1" applyBorder="1" applyAlignment="1">
      <alignment vertical="center"/>
    </xf>
    <xf numFmtId="206" fontId="7" fillId="5" borderId="11" xfId="0" applyNumberFormat="1" applyFont="1" applyFill="1" applyBorder="1" applyAlignment="1">
      <alignment vertical="center" wrapText="1"/>
    </xf>
    <xf numFmtId="206" fontId="7" fillId="5" borderId="55" xfId="0" applyNumberFormat="1" applyFont="1" applyFill="1" applyBorder="1" applyAlignment="1">
      <alignment vertical="center" wrapText="1"/>
    </xf>
    <xf numFmtId="2" fontId="2" fillId="2" borderId="4" xfId="42" applyNumberFormat="1" applyFont="1" applyFill="1" applyBorder="1" applyAlignment="1">
      <alignment vertical="center"/>
    </xf>
    <xf numFmtId="190" fontId="2" fillId="2" borderId="0" xfId="0" applyNumberFormat="1" applyFont="1" applyFill="1" applyBorder="1" applyAlignment="1">
      <alignment horizontal="center" vertical="center" wrapText="1"/>
    </xf>
    <xf numFmtId="190" fontId="32" fillId="2" borderId="0" xfId="0" applyNumberFormat="1" applyFont="1" applyFill="1" applyAlignment="1">
      <alignment horizontal="center" vertical="center" wrapText="1"/>
    </xf>
    <xf numFmtId="186" fontId="2" fillId="2" borderId="0" xfId="14" applyNumberFormat="1" applyFont="1" applyFill="1" applyAlignment="1">
      <alignment horizontal="center" vertical="center" wrapText="1"/>
    </xf>
    <xf numFmtId="207" fontId="2" fillId="2" borderId="0" xfId="18" applyNumberFormat="1" applyFont="1" applyFill="1" applyAlignment="1">
      <alignment horizontal="center" vertical="center" wrapText="1"/>
    </xf>
    <xf numFmtId="9" fontId="2" fillId="2" borderId="0" xfId="18" applyFont="1" applyFill="1" applyAlignment="1">
      <alignment horizontal="center" vertical="center" wrapText="1"/>
    </xf>
    <xf numFmtId="215" fontId="2" fillId="2" borderId="0" xfId="0" applyNumberFormat="1" applyFont="1" applyFill="1" applyAlignment="1">
      <alignment horizontal="center" vertical="center" wrapText="1"/>
    </xf>
    <xf numFmtId="187" fontId="2" fillId="2" borderId="0" xfId="0" applyNumberFormat="1" applyFont="1" applyFill="1" applyAlignment="1">
      <alignment horizontal="center" vertical="center" wrapText="1"/>
    </xf>
    <xf numFmtId="10" fontId="2" fillId="2" borderId="0" xfId="0" applyNumberFormat="1" applyFont="1" applyFill="1" applyAlignment="1">
      <alignment horizontal="center" vertical="center" wrapText="1"/>
    </xf>
    <xf numFmtId="186" fontId="3" fillId="2" borderId="53" xfId="14" applyNumberFormat="1" applyFont="1" applyFill="1" applyBorder="1" applyAlignment="1">
      <alignment horizontal="center" vertical="center" wrapText="1"/>
    </xf>
    <xf numFmtId="215" fontId="2" fillId="0" borderId="26" xfId="228" applyNumberFormat="1" applyFont="1" applyFill="1" applyBorder="1" applyAlignment="1">
      <alignment horizontal="center" vertical="center" wrapText="1"/>
    </xf>
    <xf numFmtId="212" fontId="2" fillId="0" borderId="26" xfId="228" applyNumberFormat="1" applyFont="1" applyFill="1" applyBorder="1" applyAlignment="1">
      <alignment horizontal="center" vertical="center" wrapText="1"/>
    </xf>
    <xf numFmtId="215" fontId="2" fillId="0" borderId="34" xfId="228" applyNumberFormat="1" applyFont="1" applyFill="1" applyBorder="1" applyAlignment="1">
      <alignment horizontal="center" vertical="center" wrapText="1"/>
    </xf>
    <xf numFmtId="186" fontId="3" fillId="2" borderId="56" xfId="14" applyNumberFormat="1" applyFont="1" applyFill="1" applyBorder="1" applyAlignment="1">
      <alignment horizontal="center" vertical="center" wrapText="1"/>
    </xf>
    <xf numFmtId="215" fontId="2" fillId="0" borderId="7" xfId="228" applyNumberFormat="1" applyFont="1" applyFill="1" applyBorder="1" applyAlignment="1">
      <alignment horizontal="center" vertical="center" wrapText="1"/>
    </xf>
    <xf numFmtId="0" fontId="6" fillId="3" borderId="38" xfId="0" applyNumberFormat="1" applyFont="1" applyFill="1" applyBorder="1" applyAlignment="1">
      <alignment horizontal="center" vertical="center" wrapText="1"/>
    </xf>
    <xf numFmtId="206" fontId="6" fillId="3" borderId="2" xfId="0" applyNumberFormat="1" applyFont="1" applyFill="1" applyBorder="1" applyAlignment="1">
      <alignment horizontal="center" vertical="center" wrapText="1"/>
    </xf>
    <xf numFmtId="207" fontId="6" fillId="3" borderId="12" xfId="0" applyNumberFormat="1" applyFont="1" applyFill="1" applyBorder="1" applyAlignment="1">
      <alignment horizontal="center" vertical="center" wrapText="1"/>
    </xf>
    <xf numFmtId="190" fontId="32" fillId="0" borderId="0" xfId="0" applyNumberFormat="1" applyFont="1" applyFill="1" applyAlignment="1">
      <alignment horizontal="center" vertical="center" wrapText="1"/>
    </xf>
    <xf numFmtId="0" fontId="32" fillId="4" borderId="5" xfId="0" applyNumberFormat="1" applyFont="1" applyFill="1" applyBorder="1" applyAlignment="1">
      <alignment horizontal="left" vertical="center" wrapText="1"/>
    </xf>
    <xf numFmtId="190" fontId="53" fillId="4" borderId="4" xfId="0" applyNumberFormat="1" applyFont="1" applyFill="1" applyBorder="1" applyAlignment="1">
      <alignment horizontal="center" vertical="center" wrapText="1"/>
    </xf>
    <xf numFmtId="207" fontId="32" fillId="4" borderId="4" xfId="14" applyNumberFormat="1" applyFont="1" applyFill="1" applyBorder="1" applyAlignment="1">
      <alignment horizontal="center" vertical="center" wrapText="1"/>
    </xf>
    <xf numFmtId="0" fontId="6" fillId="5" borderId="5" xfId="0" applyNumberFormat="1" applyFont="1" applyFill="1" applyBorder="1" applyAlignment="1">
      <alignment horizontal="left" vertical="center" wrapText="1"/>
    </xf>
    <xf numFmtId="186" fontId="2" fillId="5" borderId="4" xfId="14" applyNumberFormat="1" applyFont="1" applyFill="1" applyBorder="1" applyAlignment="1">
      <alignment horizontal="center" vertical="center" wrapText="1"/>
    </xf>
    <xf numFmtId="186" fontId="6" fillId="0" borderId="4" xfId="14" applyNumberFormat="1" applyFont="1" applyFill="1" applyBorder="1" applyAlignment="1">
      <alignment horizontal="center" vertical="center" wrapText="1"/>
    </xf>
    <xf numFmtId="0" fontId="34" fillId="0" borderId="4" xfId="128" applyFont="1" applyFill="1" applyBorder="1" applyAlignment="1">
      <alignment horizontal="justify" vertical="center" wrapText="1"/>
    </xf>
    <xf numFmtId="207" fontId="34" fillId="0" borderId="4" xfId="228" applyNumberFormat="1" applyFont="1" applyFill="1" applyBorder="1" applyAlignment="1">
      <alignment horizontal="center" vertical="center" wrapText="1"/>
    </xf>
    <xf numFmtId="1" fontId="34" fillId="0" borderId="4" xfId="228" applyNumberFormat="1" applyFont="1" applyFill="1" applyBorder="1" applyAlignment="1">
      <alignment horizontal="center" vertical="center" wrapText="1"/>
    </xf>
    <xf numFmtId="197" fontId="34" fillId="0" borderId="4" xfId="228" applyNumberFormat="1" applyFont="1" applyFill="1" applyBorder="1" applyAlignment="1">
      <alignment horizontal="center" vertical="center" wrapText="1"/>
    </xf>
    <xf numFmtId="207" fontId="34" fillId="0" borderId="4" xfId="14" applyNumberFormat="1" applyFont="1" applyFill="1" applyBorder="1" applyAlignment="1">
      <alignment horizontal="center" vertical="center" wrapText="1"/>
    </xf>
    <xf numFmtId="0" fontId="40" fillId="0" borderId="4" xfId="128" applyFont="1" applyFill="1" applyBorder="1" applyAlignment="1">
      <alignment horizontal="justify" vertical="center" wrapText="1"/>
    </xf>
    <xf numFmtId="186" fontId="60" fillId="0" borderId="4" xfId="14" applyNumberFormat="1" applyFont="1" applyFill="1" applyBorder="1" applyAlignment="1">
      <alignment horizontal="center" vertical="center" wrapText="1"/>
    </xf>
    <xf numFmtId="197" fontId="34" fillId="0" borderId="4" xfId="14" applyNumberFormat="1" applyFont="1" applyFill="1" applyBorder="1" applyAlignment="1">
      <alignment horizontal="center" vertical="center" wrapText="1"/>
    </xf>
    <xf numFmtId="207" fontId="40" fillId="0" borderId="4" xfId="14" applyNumberFormat="1" applyFont="1" applyFill="1" applyBorder="1" applyAlignment="1">
      <alignment horizontal="center" vertical="center" wrapText="1"/>
    </xf>
    <xf numFmtId="186" fontId="40" fillId="0" borderId="4" xfId="14" applyNumberFormat="1" applyFont="1" applyFill="1" applyBorder="1" applyAlignment="1">
      <alignment horizontal="center" vertical="center" wrapText="1"/>
    </xf>
    <xf numFmtId="207" fontId="2" fillId="0" borderId="26" xfId="228" applyNumberFormat="1" applyFont="1" applyFill="1" applyBorder="1" applyAlignment="1">
      <alignment horizontal="center" vertical="center" wrapText="1"/>
    </xf>
    <xf numFmtId="9" fontId="2" fillId="0" borderId="26" xfId="18" applyFont="1" applyFill="1" applyBorder="1" applyAlignment="1">
      <alignment horizontal="center" vertical="center" wrapText="1"/>
    </xf>
    <xf numFmtId="0" fontId="2" fillId="0" borderId="7" xfId="228" applyNumberFormat="1" applyFont="1" applyFill="1" applyBorder="1" applyAlignment="1">
      <alignment horizontal="center" vertical="center" wrapText="1"/>
    </xf>
    <xf numFmtId="207" fontId="2" fillId="0" borderId="4" xfId="18" applyNumberFormat="1" applyFont="1" applyFill="1" applyBorder="1" applyAlignment="1">
      <alignment horizontal="center" vertical="center" wrapText="1"/>
    </xf>
    <xf numFmtId="9" fontId="2" fillId="0" borderId="11" xfId="18" applyFont="1" applyFill="1" applyBorder="1" applyAlignment="1">
      <alignment horizontal="center" vertical="center" wrapText="1"/>
    </xf>
    <xf numFmtId="215" fontId="2" fillId="0" borderId="11" xfId="228" applyNumberFormat="1" applyFont="1" applyFill="1" applyBorder="1" applyAlignment="1">
      <alignment horizontal="center" vertical="center" wrapText="1"/>
    </xf>
    <xf numFmtId="215" fontId="32" fillId="4" borderId="4" xfId="18" applyNumberFormat="1" applyFont="1" applyFill="1" applyBorder="1" applyAlignment="1">
      <alignment horizontal="center" vertical="center" wrapText="1"/>
    </xf>
    <xf numFmtId="9" fontId="32" fillId="4" borderId="4" xfId="18" applyFont="1" applyFill="1" applyBorder="1" applyAlignment="1">
      <alignment horizontal="center" vertical="center" wrapText="1"/>
    </xf>
    <xf numFmtId="207" fontId="32" fillId="4" borderId="4" xfId="0" applyNumberFormat="1" applyFont="1" applyFill="1" applyBorder="1" applyAlignment="1">
      <alignment horizontal="center" vertical="center" wrapText="1"/>
    </xf>
    <xf numFmtId="215" fontId="6" fillId="0" borderId="4" xfId="14" applyNumberFormat="1" applyFont="1" applyFill="1" applyBorder="1" applyAlignment="1">
      <alignment horizontal="center" vertical="center" wrapText="1"/>
    </xf>
    <xf numFmtId="200" fontId="6" fillId="0" borderId="4" xfId="14" applyNumberFormat="1" applyFont="1" applyFill="1" applyBorder="1" applyAlignment="1">
      <alignment horizontal="center" vertical="center" wrapText="1"/>
    </xf>
    <xf numFmtId="207" fontId="34" fillId="0" borderId="4" xfId="0" applyNumberFormat="1" applyFont="1" applyFill="1" applyBorder="1" applyAlignment="1">
      <alignment horizontal="center" vertical="center" wrapText="1"/>
    </xf>
    <xf numFmtId="200" fontId="34" fillId="0" borderId="4" xfId="228" applyNumberFormat="1" applyFont="1" applyFill="1" applyBorder="1" applyAlignment="1">
      <alignment horizontal="center" vertical="center" wrapText="1"/>
    </xf>
    <xf numFmtId="9" fontId="34" fillId="0" borderId="4" xfId="18" applyFont="1" applyFill="1" applyBorder="1" applyAlignment="1">
      <alignment horizontal="center" vertical="center" wrapText="1"/>
    </xf>
    <xf numFmtId="215" fontId="34" fillId="0" borderId="4" xfId="14" applyNumberFormat="1" applyFont="1" applyFill="1" applyBorder="1" applyAlignment="1">
      <alignment horizontal="center" vertical="center" wrapText="1"/>
    </xf>
    <xf numFmtId="200" fontId="34" fillId="0" borderId="4" xfId="14" applyNumberFormat="1" applyFont="1" applyFill="1" applyBorder="1" applyAlignment="1">
      <alignment horizontal="center" vertical="center" wrapText="1"/>
    </xf>
    <xf numFmtId="215" fontId="34" fillId="13" borderId="4" xfId="14" applyNumberFormat="1" applyFont="1" applyFill="1" applyBorder="1" applyAlignment="1">
      <alignment horizontal="center" vertical="center" wrapText="1"/>
    </xf>
    <xf numFmtId="200" fontId="34" fillId="13" borderId="4" xfId="228" applyNumberFormat="1" applyFont="1" applyFill="1" applyBorder="1" applyAlignment="1">
      <alignment horizontal="center" vertical="center" wrapText="1"/>
    </xf>
    <xf numFmtId="187" fontId="34" fillId="0" borderId="4" xfId="0" applyNumberFormat="1" applyFont="1" applyFill="1" applyBorder="1" applyAlignment="1">
      <alignment horizontal="center" vertical="center" wrapText="1"/>
    </xf>
    <xf numFmtId="215" fontId="40" fillId="0" borderId="4" xfId="14" applyNumberFormat="1" applyFont="1" applyFill="1" applyBorder="1" applyAlignment="1">
      <alignment horizontal="center" vertical="center" wrapText="1"/>
    </xf>
    <xf numFmtId="200" fontId="40" fillId="0" borderId="4" xfId="14" applyNumberFormat="1" applyFont="1" applyFill="1" applyBorder="1" applyAlignment="1">
      <alignment horizontal="center" vertical="center" wrapText="1"/>
    </xf>
    <xf numFmtId="9" fontId="40" fillId="0" borderId="4" xfId="18" applyFont="1" applyFill="1" applyBorder="1" applyAlignment="1">
      <alignment horizontal="center" vertical="center" wrapText="1"/>
    </xf>
    <xf numFmtId="0" fontId="2" fillId="0" borderId="26" xfId="228" applyNumberFormat="1" applyFont="1" applyFill="1" applyBorder="1" applyAlignment="1">
      <alignment horizontal="center" vertical="center" wrapText="1"/>
    </xf>
    <xf numFmtId="215" fontId="2" fillId="0" borderId="20" xfId="228" applyNumberFormat="1" applyFont="1" applyFill="1" applyBorder="1" applyAlignment="1">
      <alignment horizontal="center" vertical="center" wrapText="1"/>
    </xf>
    <xf numFmtId="0" fontId="34" fillId="0" borderId="4" xfId="128" applyNumberFormat="1" applyFont="1" applyFill="1" applyBorder="1" applyAlignment="1" applyProtection="1">
      <alignment horizontal="left" vertical="center"/>
    </xf>
    <xf numFmtId="0" fontId="34" fillId="0" borderId="4" xfId="128" applyNumberFormat="1" applyFont="1" applyFill="1" applyBorder="1" applyAlignment="1" applyProtection="1">
      <alignment horizontal="center" vertical="center"/>
    </xf>
    <xf numFmtId="0" fontId="6" fillId="5" borderId="5" xfId="0" applyFont="1" applyFill="1" applyBorder="1" applyAlignment="1">
      <alignment horizontal="left" vertical="center" wrapText="1"/>
    </xf>
    <xf numFmtId="0" fontId="35" fillId="17" borderId="4" xfId="128" applyFont="1" applyFill="1" applyBorder="1" applyAlignment="1">
      <alignment vertical="center" wrapText="1"/>
    </xf>
    <xf numFmtId="0" fontId="35" fillId="15" borderId="4" xfId="128" applyFont="1" applyFill="1" applyBorder="1" applyAlignment="1">
      <alignment horizontal="center" vertical="center" wrapText="1"/>
    </xf>
    <xf numFmtId="0" fontId="34" fillId="17" borderId="4" xfId="128" applyNumberFormat="1" applyFont="1" applyFill="1" applyBorder="1" applyAlignment="1" applyProtection="1">
      <alignment horizontal="center" vertical="center"/>
    </xf>
    <xf numFmtId="0" fontId="34" fillId="0" borderId="4" xfId="0" applyFont="1" applyFill="1" applyBorder="1" applyAlignment="1">
      <alignment horizontal="center" vertical="center" wrapText="1"/>
    </xf>
    <xf numFmtId="0" fontId="2" fillId="17" borderId="4" xfId="228" applyNumberFormat="1" applyFont="1" applyFill="1" applyBorder="1" applyAlignment="1" applyProtection="1">
      <alignment horizontal="right" vertical="center"/>
    </xf>
    <xf numFmtId="215" fontId="2" fillId="17" borderId="4" xfId="453" applyNumberFormat="1" applyFont="1" applyFill="1" applyBorder="1" applyAlignment="1">
      <alignment horizontal="center" vertical="center" wrapText="1"/>
    </xf>
    <xf numFmtId="0" fontId="28" fillId="15" borderId="20" xfId="228" applyFont="1" applyFill="1" applyBorder="1" applyAlignment="1">
      <alignment horizontal="center" vertical="center" wrapText="1"/>
    </xf>
    <xf numFmtId="0" fontId="6" fillId="5" borderId="4" xfId="228" applyFont="1" applyFill="1" applyBorder="1" applyAlignment="1">
      <alignment vertical="center" wrapText="1"/>
    </xf>
    <xf numFmtId="0" fontId="61" fillId="5" borderId="20" xfId="228" applyFont="1" applyFill="1" applyBorder="1" applyAlignment="1">
      <alignment vertical="center" wrapText="1"/>
    </xf>
    <xf numFmtId="0" fontId="2" fillId="0" borderId="4" xfId="228" applyFont="1" applyFill="1" applyBorder="1" applyAlignment="1">
      <alignment horizontal="center" vertical="center" wrapText="1"/>
    </xf>
    <xf numFmtId="186" fontId="2" fillId="17" borderId="4" xfId="14" applyNumberFormat="1" applyFont="1" applyFill="1" applyBorder="1" applyAlignment="1">
      <alignment horizontal="center" vertical="center" wrapText="1"/>
    </xf>
    <xf numFmtId="207" fontId="2" fillId="0" borderId="4" xfId="228" applyNumberFormat="1" applyFont="1" applyFill="1" applyBorder="1" applyAlignment="1">
      <alignment horizontal="center" vertical="center" wrapText="1"/>
    </xf>
    <xf numFmtId="200" fontId="32" fillId="4" borderId="4" xfId="18" applyNumberFormat="1" applyFont="1" applyFill="1" applyBorder="1" applyAlignment="1">
      <alignment horizontal="center" vertical="center" wrapText="1"/>
    </xf>
    <xf numFmtId="200" fontId="6" fillId="5" borderId="4" xfId="0" applyNumberFormat="1" applyFont="1" applyFill="1" applyBorder="1" applyAlignment="1">
      <alignment horizontal="center" vertical="center" wrapText="1"/>
    </xf>
    <xf numFmtId="200" fontId="2" fillId="13" borderId="4" xfId="0" applyNumberFormat="1" applyFont="1" applyFill="1" applyBorder="1" applyAlignment="1">
      <alignment horizontal="center" vertical="center" wrapText="1"/>
    </xf>
    <xf numFmtId="200" fontId="2" fillId="15" borderId="4" xfId="0" applyNumberFormat="1" applyFont="1" applyFill="1" applyBorder="1" applyAlignment="1">
      <alignment horizontal="center" vertical="center" wrapText="1"/>
    </xf>
    <xf numFmtId="9" fontId="2" fillId="15" borderId="4" xfId="18" applyFont="1" applyFill="1" applyBorder="1" applyAlignment="1">
      <alignment horizontal="center" vertical="center" wrapText="1"/>
    </xf>
    <xf numFmtId="207" fontId="2" fillId="21" borderId="4" xfId="0" applyNumberFormat="1" applyFont="1" applyFill="1" applyBorder="1" applyAlignment="1">
      <alignment horizontal="center" vertical="center"/>
    </xf>
    <xf numFmtId="200" fontId="2" fillId="17" borderId="4" xfId="0" applyNumberFormat="1" applyFont="1" applyFill="1" applyBorder="1" applyAlignment="1">
      <alignment horizontal="center" vertical="center" wrapText="1"/>
    </xf>
    <xf numFmtId="10" fontId="2" fillId="0" borderId="4" xfId="0" applyNumberFormat="1" applyFont="1" applyFill="1" applyBorder="1" applyAlignment="1">
      <alignment horizontal="center" vertical="center" wrapText="1"/>
    </xf>
    <xf numFmtId="2" fontId="2" fillId="15" borderId="4" xfId="0" applyNumberFormat="1" applyFont="1" applyFill="1" applyBorder="1" applyAlignment="1">
      <alignment horizontal="center" vertical="center" wrapText="1"/>
    </xf>
    <xf numFmtId="200" fontId="34" fillId="0" borderId="4" xfId="0" applyNumberFormat="1" applyFont="1" applyFill="1" applyBorder="1" applyAlignment="1">
      <alignment horizontal="center" vertical="center" wrapText="1"/>
    </xf>
    <xf numFmtId="0" fontId="34" fillId="13" borderId="4" xfId="0" applyFont="1" applyFill="1" applyBorder="1" applyAlignment="1">
      <alignment horizontal="center" vertical="center" wrapText="1"/>
    </xf>
    <xf numFmtId="0" fontId="2" fillId="13" borderId="4" xfId="0" applyFont="1" applyFill="1" applyBorder="1" applyAlignment="1">
      <alignment horizontal="center" vertical="center" wrapText="1"/>
    </xf>
    <xf numFmtId="207" fontId="34" fillId="13" borderId="4" xfId="0" applyNumberFormat="1" applyFont="1" applyFill="1" applyBorder="1" applyAlignment="1">
      <alignment horizontal="center" vertical="center" wrapText="1"/>
    </xf>
    <xf numFmtId="215" fontId="34" fillId="0" borderId="4" xfId="0" applyNumberFormat="1" applyFont="1" applyFill="1" applyBorder="1" applyAlignment="1">
      <alignment horizontal="center" vertical="center" wrapText="1"/>
    </xf>
    <xf numFmtId="200" fontId="6" fillId="5" borderId="4" xfId="14" applyNumberFormat="1" applyFont="1" applyFill="1" applyBorder="1" applyAlignment="1">
      <alignment horizontal="center" vertical="center" wrapText="1"/>
    </xf>
    <xf numFmtId="207" fontId="2" fillId="0" borderId="4" xfId="453" applyNumberFormat="1" applyFont="1" applyFill="1" applyBorder="1" applyAlignment="1">
      <alignment vertical="center" wrapText="1"/>
    </xf>
    <xf numFmtId="200" fontId="62" fillId="0" borderId="4" xfId="453" applyNumberFormat="1" applyFont="1" applyFill="1" applyBorder="1" applyAlignment="1">
      <alignment horizontal="center" vertical="center" wrapText="1"/>
    </xf>
    <xf numFmtId="0" fontId="2" fillId="17" borderId="4" xfId="228" applyFont="1" applyFill="1" applyBorder="1" applyAlignment="1">
      <alignment horizontal="justify" vertical="center" wrapText="1"/>
    </xf>
    <xf numFmtId="186" fontId="2" fillId="17" borderId="4" xfId="14" applyNumberFormat="1" applyFont="1" applyFill="1" applyBorder="1" applyAlignment="1">
      <alignment horizontal="left" vertical="center" wrapText="1"/>
    </xf>
    <xf numFmtId="0" fontId="2" fillId="17" borderId="4" xfId="228" applyFont="1" applyFill="1" applyBorder="1" applyAlignment="1">
      <alignment horizontal="center" vertical="center" wrapText="1"/>
    </xf>
    <xf numFmtId="0" fontId="34" fillId="17" borderId="4" xfId="228" applyNumberFormat="1" applyFont="1" applyFill="1" applyBorder="1" applyAlignment="1" applyProtection="1">
      <alignment horizontal="center" vertical="center"/>
    </xf>
    <xf numFmtId="0" fontId="63" fillId="0" borderId="4" xfId="228" applyNumberFormat="1" applyFont="1" applyFill="1" applyBorder="1" applyAlignment="1" applyProtection="1">
      <alignment horizontal="center" vertical="center"/>
    </xf>
    <xf numFmtId="186" fontId="2" fillId="17" borderId="4" xfId="14" applyNumberFormat="1" applyFont="1" applyFill="1" applyBorder="1" applyAlignment="1">
      <alignment horizontal="center" vertical="center"/>
    </xf>
    <xf numFmtId="0" fontId="34" fillId="0" borderId="4" xfId="228" applyNumberFormat="1" applyFont="1" applyFill="1" applyBorder="1" applyAlignment="1" applyProtection="1">
      <alignment horizontal="left" vertical="center"/>
    </xf>
    <xf numFmtId="0" fontId="2" fillId="0" borderId="4" xfId="228" applyFont="1" applyFill="1" applyBorder="1" applyAlignment="1">
      <alignment vertical="center" wrapText="1"/>
    </xf>
    <xf numFmtId="0" fontId="2" fillId="17" borderId="4" xfId="453" applyFont="1" applyFill="1" applyBorder="1" applyAlignment="1">
      <alignment horizontal="left" vertical="center" wrapText="1"/>
    </xf>
    <xf numFmtId="200" fontId="6" fillId="13" borderId="4" xfId="14" applyNumberFormat="1" applyFont="1" applyFill="1" applyBorder="1" applyAlignment="1">
      <alignment horizontal="center" vertical="center" wrapText="1"/>
    </xf>
    <xf numFmtId="200" fontId="2" fillId="21" borderId="4" xfId="18" applyNumberFormat="1" applyFont="1" applyFill="1" applyBorder="1" applyAlignment="1">
      <alignment horizontal="center" vertical="center" wrapText="1"/>
    </xf>
    <xf numFmtId="200" fontId="2" fillId="0" borderId="4" xfId="18" applyNumberFormat="1" applyFont="1" applyFill="1" applyBorder="1" applyAlignment="1">
      <alignment horizontal="center" vertical="center" wrapText="1"/>
    </xf>
    <xf numFmtId="200" fontId="34" fillId="0" borderId="4" xfId="14" applyNumberFormat="1" applyFont="1" applyFill="1" applyBorder="1" applyAlignment="1">
      <alignment horizontal="center" vertical="center"/>
    </xf>
    <xf numFmtId="0" fontId="2" fillId="17" borderId="4" xfId="228" applyFont="1" applyFill="1" applyBorder="1" applyAlignment="1">
      <alignment horizontal="left" vertical="center" wrapText="1"/>
    </xf>
    <xf numFmtId="9" fontId="2" fillId="0" borderId="4" xfId="14" applyNumberFormat="1" applyFont="1" applyFill="1" applyBorder="1" applyAlignment="1">
      <alignment horizontal="center" vertical="center" wrapText="1"/>
    </xf>
    <xf numFmtId="0" fontId="6" fillId="0" borderId="5" xfId="0" applyNumberFormat="1" applyFont="1" applyFill="1" applyBorder="1" applyAlignment="1">
      <alignment horizontal="left" vertical="center" wrapText="1"/>
    </xf>
    <xf numFmtId="0" fontId="6" fillId="0" borderId="4" xfId="0" applyNumberFormat="1" applyFont="1" applyFill="1" applyBorder="1" applyAlignment="1">
      <alignment horizontal="center" vertical="center" wrapText="1"/>
    </xf>
    <xf numFmtId="0" fontId="6" fillId="0" borderId="4" xfId="228" applyFont="1" applyFill="1" applyBorder="1" applyAlignment="1">
      <alignment vertical="center" wrapText="1"/>
    </xf>
    <xf numFmtId="0" fontId="6" fillId="0" borderId="4" xfId="228" applyFont="1" applyFill="1" applyBorder="1" applyAlignment="1">
      <alignment horizontal="center" vertical="center" wrapText="1"/>
    </xf>
    <xf numFmtId="0" fontId="61" fillId="0" borderId="20" xfId="228" applyFont="1" applyFill="1" applyBorder="1" applyAlignment="1">
      <alignment vertical="center" wrapText="1"/>
    </xf>
    <xf numFmtId="207" fontId="32" fillId="14" borderId="4" xfId="0" applyNumberFormat="1" applyFont="1" applyFill="1" applyBorder="1" applyAlignment="1">
      <alignment horizontal="center" vertical="center" wrapText="1"/>
    </xf>
    <xf numFmtId="187" fontId="6" fillId="0" borderId="4" xfId="0" applyNumberFormat="1" applyFont="1" applyFill="1" applyBorder="1" applyAlignment="1">
      <alignment horizontal="center" vertical="center" wrapText="1"/>
    </xf>
    <xf numFmtId="187" fontId="2" fillId="0" borderId="0" xfId="0" applyNumberFormat="1" applyFont="1" applyFill="1" applyAlignment="1">
      <alignment horizontal="center" vertical="center" wrapText="1"/>
    </xf>
    <xf numFmtId="10" fontId="2" fillId="0" borderId="0" xfId="0" applyNumberFormat="1" applyFont="1" applyFill="1" applyAlignment="1">
      <alignment horizontal="center" vertical="center" wrapText="1"/>
    </xf>
    <xf numFmtId="207" fontId="1" fillId="15" borderId="0" xfId="0" applyNumberFormat="1" applyFont="1" applyFill="1" applyAlignment="1">
      <alignment horizontal="center" vertical="center" wrapText="1"/>
    </xf>
    <xf numFmtId="207" fontId="4" fillId="15" borderId="0" xfId="0" applyNumberFormat="1" applyFont="1" applyFill="1" applyAlignment="1">
      <alignment vertical="center" wrapText="1"/>
    </xf>
    <xf numFmtId="207" fontId="1" fillId="15" borderId="0" xfId="0" applyNumberFormat="1" applyFont="1" applyFill="1" applyAlignment="1">
      <alignment vertical="center" wrapText="1"/>
    </xf>
    <xf numFmtId="49" fontId="1" fillId="15" borderId="0" xfId="0" applyNumberFormat="1" applyFont="1" applyFill="1" applyAlignment="1">
      <alignment horizontal="left" vertical="center" wrapText="1"/>
    </xf>
    <xf numFmtId="215" fontId="1" fillId="2" borderId="0" xfId="0" applyNumberFormat="1" applyFont="1" applyFill="1" applyAlignment="1">
      <alignment horizontal="center" vertical="center" wrapText="1"/>
    </xf>
    <xf numFmtId="207" fontId="1" fillId="2" borderId="0" xfId="0" applyNumberFormat="1" applyFont="1" applyFill="1" applyBorder="1" applyAlignment="1">
      <alignment vertical="center" wrapText="1"/>
    </xf>
    <xf numFmtId="207" fontId="1" fillId="2" borderId="0" xfId="14" applyNumberFormat="1" applyFont="1" applyFill="1" applyAlignment="1">
      <alignment horizontal="center" vertical="center" wrapText="1"/>
    </xf>
    <xf numFmtId="207" fontId="1" fillId="0" borderId="0" xfId="14" applyNumberFormat="1" applyFont="1" applyFill="1" applyAlignment="1">
      <alignment horizontal="center" vertical="center" wrapText="1"/>
    </xf>
    <xf numFmtId="207" fontId="1" fillId="2" borderId="0" xfId="0" applyNumberFormat="1" applyFont="1" applyFill="1" applyAlignment="1">
      <alignment vertical="center" wrapText="1"/>
    </xf>
    <xf numFmtId="0" fontId="31" fillId="2" borderId="0" xfId="0" applyFont="1" applyFill="1" applyBorder="1" applyAlignment="1">
      <alignment horizontal="center" vertical="center" wrapText="1"/>
    </xf>
    <xf numFmtId="0" fontId="31" fillId="2" borderId="25" xfId="0" applyFont="1" applyFill="1" applyBorder="1" applyAlignment="1">
      <alignment horizontal="center" vertical="center" wrapText="1"/>
    </xf>
    <xf numFmtId="215" fontId="6" fillId="3" borderId="4" xfId="0" applyNumberFormat="1" applyFont="1" applyFill="1" applyBorder="1" applyAlignment="1">
      <alignment horizontal="center" vertical="center" wrapText="1"/>
    </xf>
    <xf numFmtId="207" fontId="6" fillId="3" borderId="5" xfId="0" applyNumberFormat="1" applyFont="1" applyFill="1" applyBorder="1" applyAlignment="1">
      <alignment horizontal="center" vertical="center" wrapText="1"/>
    </xf>
    <xf numFmtId="207" fontId="6" fillId="3" borderId="37" xfId="0" applyNumberFormat="1" applyFont="1" applyFill="1" applyBorder="1" applyAlignment="1">
      <alignment horizontal="center" vertical="center" wrapText="1"/>
    </xf>
    <xf numFmtId="207" fontId="6" fillId="3" borderId="20" xfId="0" applyNumberFormat="1" applyFont="1" applyFill="1" applyBorder="1" applyAlignment="1">
      <alignment horizontal="center" vertical="center" wrapText="1"/>
    </xf>
    <xf numFmtId="0" fontId="6" fillId="3" borderId="5" xfId="0" applyFont="1" applyFill="1" applyBorder="1" applyAlignment="1">
      <alignment horizontal="center" vertical="center" wrapText="1"/>
    </xf>
    <xf numFmtId="215" fontId="2" fillId="16" borderId="4" xfId="0" applyNumberFormat="1" applyFont="1" applyFill="1" applyBorder="1" applyAlignment="1">
      <alignment horizontal="center" vertical="center" wrapText="1"/>
    </xf>
    <xf numFmtId="207" fontId="2" fillId="16" borderId="4" xfId="0" applyNumberFormat="1" applyFont="1" applyFill="1" applyBorder="1" applyAlignment="1">
      <alignment horizontal="center" vertical="center" wrapText="1"/>
    </xf>
    <xf numFmtId="49" fontId="32" fillId="4" borderId="4" xfId="0" applyNumberFormat="1" applyFont="1" applyFill="1" applyBorder="1" applyAlignment="1">
      <alignment horizontal="left" vertical="center" wrapText="1"/>
    </xf>
    <xf numFmtId="215" fontId="32" fillId="4" borderId="4" xfId="0" applyNumberFormat="1" applyFont="1" applyFill="1" applyBorder="1" applyAlignment="1">
      <alignment horizontal="center" vertical="center" wrapText="1"/>
    </xf>
    <xf numFmtId="207" fontId="32" fillId="4" borderId="4" xfId="0" applyNumberFormat="1" applyFont="1" applyFill="1" applyBorder="1" applyAlignment="1">
      <alignment horizontal="left" vertical="center" wrapText="1"/>
    </xf>
    <xf numFmtId="207" fontId="6" fillId="4" borderId="4" xfId="0" applyNumberFormat="1" applyFont="1" applyFill="1" applyBorder="1" applyAlignment="1">
      <alignment horizontal="right" vertical="center" wrapText="1"/>
    </xf>
    <xf numFmtId="49" fontId="2" fillId="28" borderId="4" xfId="0" applyNumberFormat="1" applyFont="1" applyFill="1" applyBorder="1" applyAlignment="1">
      <alignment horizontal="left" vertical="center" wrapText="1"/>
    </xf>
    <xf numFmtId="215" fontId="2" fillId="28" borderId="4" xfId="0" applyNumberFormat="1" applyFont="1" applyFill="1" applyBorder="1" applyAlignment="1">
      <alignment horizontal="center" vertical="center" wrapText="1"/>
    </xf>
    <xf numFmtId="207" fontId="2" fillId="28" borderId="4" xfId="0" applyNumberFormat="1" applyFont="1" applyFill="1" applyBorder="1" applyAlignment="1">
      <alignment horizontal="left" vertical="center" wrapText="1"/>
    </xf>
    <xf numFmtId="207" fontId="2" fillId="28" borderId="4" xfId="0" applyNumberFormat="1" applyFont="1" applyFill="1" applyBorder="1" applyAlignment="1">
      <alignment horizontal="right" vertical="center" wrapText="1"/>
    </xf>
    <xf numFmtId="207" fontId="2" fillId="28" borderId="4" xfId="0" applyNumberFormat="1" applyFont="1" applyFill="1" applyBorder="1" applyAlignment="1">
      <alignment vertical="center" wrapText="1"/>
    </xf>
    <xf numFmtId="0" fontId="2" fillId="28" borderId="4" xfId="0" applyFont="1" applyFill="1" applyBorder="1" applyAlignment="1">
      <alignment horizontal="left" vertical="center" wrapText="1"/>
    </xf>
    <xf numFmtId="207" fontId="2" fillId="13" borderId="4" xfId="0" applyNumberFormat="1" applyFont="1" applyFill="1" applyBorder="1" applyAlignment="1">
      <alignment horizontal="right" vertical="center" wrapText="1"/>
    </xf>
    <xf numFmtId="207" fontId="6" fillId="24" borderId="4" xfId="0" applyNumberFormat="1" applyFont="1" applyFill="1" applyBorder="1" applyAlignment="1">
      <alignment horizontal="right" vertical="center" wrapText="1"/>
    </xf>
    <xf numFmtId="215" fontId="61" fillId="3" borderId="4" xfId="0" applyNumberFormat="1" applyFont="1" applyFill="1" applyBorder="1" applyAlignment="1">
      <alignment horizontal="center" vertical="center" wrapText="1"/>
    </xf>
    <xf numFmtId="207" fontId="61" fillId="3" borderId="4" xfId="0" applyNumberFormat="1" applyFont="1" applyFill="1" applyBorder="1" applyAlignment="1">
      <alignment horizontal="left" vertical="center" wrapText="1"/>
    </xf>
    <xf numFmtId="207" fontId="61" fillId="3" borderId="4" xfId="0" applyNumberFormat="1" applyFont="1" applyFill="1" applyBorder="1" applyAlignment="1">
      <alignment horizontal="right" vertical="center" wrapText="1"/>
    </xf>
    <xf numFmtId="207" fontId="2" fillId="4" borderId="4" xfId="0" applyNumberFormat="1" applyFont="1" applyFill="1" applyBorder="1" applyAlignment="1">
      <alignment horizontal="right" vertical="center" wrapText="1"/>
    </xf>
    <xf numFmtId="49" fontId="4" fillId="15" borderId="0" xfId="0" applyNumberFormat="1" applyFont="1" applyFill="1" applyAlignment="1">
      <alignment horizontal="left" vertical="center" wrapText="1"/>
    </xf>
    <xf numFmtId="207" fontId="4" fillId="2" borderId="0" xfId="0" applyNumberFormat="1" applyFont="1" applyFill="1" applyBorder="1" applyAlignment="1">
      <alignment horizontal="left" vertical="center" wrapText="1"/>
    </xf>
    <xf numFmtId="207" fontId="1" fillId="2" borderId="0" xfId="14" applyNumberFormat="1" applyFont="1" applyFill="1" applyBorder="1" applyAlignment="1">
      <alignment horizontal="center" vertical="center" wrapText="1"/>
    </xf>
    <xf numFmtId="207" fontId="1" fillId="2" borderId="21" xfId="0" applyNumberFormat="1" applyFont="1" applyFill="1" applyBorder="1" applyAlignment="1">
      <alignment vertical="center" wrapText="1"/>
    </xf>
    <xf numFmtId="215" fontId="4" fillId="2" borderId="1" xfId="0" applyNumberFormat="1" applyFont="1" applyFill="1" applyBorder="1" applyAlignment="1">
      <alignment horizontal="center" vertical="center" wrapText="1"/>
    </xf>
    <xf numFmtId="207" fontId="64" fillId="2" borderId="2" xfId="0" applyNumberFormat="1" applyFont="1" applyFill="1" applyBorder="1" applyAlignment="1">
      <alignment vertical="center" wrapText="1"/>
    </xf>
    <xf numFmtId="207" fontId="1" fillId="2" borderId="2" xfId="0" applyNumberFormat="1" applyFont="1" applyFill="1" applyBorder="1" applyAlignment="1">
      <alignment vertical="center" wrapText="1"/>
    </xf>
    <xf numFmtId="215" fontId="4" fillId="2" borderId="3" xfId="0" applyNumberFormat="1" applyFont="1" applyFill="1" applyBorder="1" applyAlignment="1">
      <alignment horizontal="center" vertical="center" wrapText="1"/>
    </xf>
    <xf numFmtId="207" fontId="64" fillId="2" borderId="4" xfId="0" applyNumberFormat="1" applyFont="1" applyFill="1" applyBorder="1" applyAlignment="1">
      <alignment vertical="center" wrapText="1"/>
    </xf>
    <xf numFmtId="207" fontId="1" fillId="2" borderId="4" xfId="0" applyNumberFormat="1" applyFont="1" applyFill="1" applyBorder="1" applyAlignment="1">
      <alignment vertical="center" wrapText="1"/>
    </xf>
    <xf numFmtId="215" fontId="4" fillId="2" borderId="33" xfId="0" applyNumberFormat="1" applyFont="1" applyFill="1" applyBorder="1" applyAlignment="1">
      <alignment horizontal="center" vertical="center" wrapText="1"/>
    </xf>
    <xf numFmtId="207" fontId="1" fillId="2" borderId="26" xfId="0" applyNumberFormat="1" applyFont="1" applyFill="1" applyBorder="1" applyAlignment="1">
      <alignment vertical="center" wrapText="1"/>
    </xf>
    <xf numFmtId="207" fontId="64" fillId="2" borderId="4" xfId="20" applyNumberFormat="1" applyFont="1" applyFill="1" applyBorder="1" applyAlignment="1">
      <alignment vertical="center" wrapText="1"/>
    </xf>
    <xf numFmtId="215" fontId="4" fillId="2" borderId="8" xfId="0" applyNumberFormat="1" applyFont="1" applyFill="1" applyBorder="1" applyAlignment="1">
      <alignment horizontal="center" vertical="center" wrapText="1"/>
    </xf>
    <xf numFmtId="207" fontId="64" fillId="2" borderId="9" xfId="20" applyNumberFormat="1" applyFont="1" applyFill="1" applyBorder="1" applyAlignment="1">
      <alignment vertical="center" wrapText="1"/>
    </xf>
    <xf numFmtId="207" fontId="1" fillId="2" borderId="9" xfId="0" applyNumberFormat="1" applyFont="1" applyFill="1" applyBorder="1" applyAlignment="1">
      <alignment vertical="center" wrapText="1"/>
    </xf>
    <xf numFmtId="215" fontId="1" fillId="2" borderId="0" xfId="20" applyNumberFormat="1" applyFont="1" applyFill="1" applyAlignment="1">
      <alignment horizontal="center" vertical="center" wrapText="1"/>
    </xf>
    <xf numFmtId="0" fontId="6" fillId="3" borderId="37" xfId="0" applyFont="1" applyFill="1" applyBorder="1" applyAlignment="1">
      <alignment horizontal="center" vertical="center" wrapText="1"/>
    </xf>
    <xf numFmtId="0" fontId="6" fillId="3" borderId="20" xfId="0" applyFont="1" applyFill="1" applyBorder="1" applyAlignment="1">
      <alignment horizontal="center" vertical="center" wrapText="1"/>
    </xf>
    <xf numFmtId="207" fontId="1" fillId="2" borderId="21" xfId="14" applyNumberFormat="1" applyFont="1" applyFill="1" applyBorder="1" applyAlignment="1">
      <alignment horizontal="center" vertical="center" wrapText="1"/>
    </xf>
    <xf numFmtId="207" fontId="61" fillId="0" borderId="4" xfId="0" applyNumberFormat="1" applyFont="1" applyFill="1" applyBorder="1" applyAlignment="1">
      <alignment horizontal="center" vertical="center" wrapText="1"/>
    </xf>
    <xf numFmtId="207" fontId="2" fillId="16" borderId="4" xfId="0" applyNumberFormat="1" applyFont="1" applyFill="1" applyBorder="1" applyAlignment="1">
      <alignment horizontal="right" vertical="center" wrapText="1"/>
    </xf>
    <xf numFmtId="207" fontId="6" fillId="0" borderId="4" xfId="0" applyNumberFormat="1" applyFont="1" applyFill="1" applyBorder="1" applyAlignment="1">
      <alignment horizontal="right" vertical="center" wrapText="1"/>
    </xf>
    <xf numFmtId="207" fontId="32" fillId="4" borderId="4" xfId="14" applyNumberFormat="1" applyFont="1" applyFill="1" applyBorder="1" applyAlignment="1">
      <alignment vertical="center" wrapText="1"/>
    </xf>
    <xf numFmtId="207" fontId="2" fillId="0" borderId="4" xfId="0" applyNumberFormat="1" applyFont="1" applyFill="1" applyBorder="1" applyAlignment="1">
      <alignment horizontal="right" vertical="center" wrapText="1"/>
    </xf>
    <xf numFmtId="207" fontId="2" fillId="28" borderId="4" xfId="14" applyNumberFormat="1" applyFont="1" applyFill="1" applyBorder="1" applyAlignment="1">
      <alignment horizontal="right" vertical="center" wrapText="1"/>
    </xf>
    <xf numFmtId="207" fontId="2" fillId="28" borderId="4" xfId="0" applyNumberFormat="1" applyFont="1" applyFill="1" applyBorder="1" applyAlignment="1">
      <alignment horizontal="center" vertical="center" wrapText="1"/>
    </xf>
    <xf numFmtId="207" fontId="61" fillId="0" borderId="4" xfId="0" applyNumberFormat="1" applyFont="1" applyFill="1" applyBorder="1" applyAlignment="1">
      <alignment horizontal="right" vertical="center" wrapText="1"/>
    </xf>
    <xf numFmtId="207" fontId="32" fillId="4" borderId="4" xfId="14" applyNumberFormat="1" applyFont="1" applyFill="1" applyBorder="1" applyAlignment="1">
      <alignment horizontal="right" vertical="center" wrapText="1"/>
    </xf>
    <xf numFmtId="207" fontId="61" fillId="3" borderId="4" xfId="14" applyNumberFormat="1" applyFont="1" applyFill="1" applyBorder="1" applyAlignment="1">
      <alignment vertical="center" wrapText="1"/>
    </xf>
    <xf numFmtId="207" fontId="1" fillId="0" borderId="0" xfId="14" applyNumberFormat="1" applyFont="1" applyFill="1" applyBorder="1" applyAlignment="1">
      <alignment horizontal="center" vertical="center" wrapText="1"/>
    </xf>
    <xf numFmtId="207" fontId="1" fillId="0" borderId="0" xfId="0" applyNumberFormat="1" applyFont="1" applyFill="1" applyBorder="1" applyAlignment="1">
      <alignment vertical="center" wrapText="1"/>
    </xf>
    <xf numFmtId="207" fontId="2" fillId="3" borderId="4" xfId="14" applyNumberFormat="1" applyFont="1" applyFill="1" applyBorder="1" applyAlignment="1">
      <alignment horizontal="center" vertical="center" wrapText="1"/>
    </xf>
    <xf numFmtId="207" fontId="6" fillId="3" borderId="26" xfId="14" applyNumberFormat="1" applyFont="1" applyFill="1" applyBorder="1" applyAlignment="1">
      <alignment horizontal="center" vertical="center" wrapText="1"/>
    </xf>
    <xf numFmtId="207" fontId="6" fillId="3" borderId="12" xfId="14" applyNumberFormat="1" applyFont="1" applyFill="1" applyBorder="1" applyAlignment="1">
      <alignment horizontal="center" vertical="center" wrapText="1"/>
    </xf>
    <xf numFmtId="207" fontId="1" fillId="2" borderId="0" xfId="0" applyNumberFormat="1" applyFont="1" applyFill="1" applyAlignment="1">
      <alignment horizontal="center" vertical="center" wrapText="1"/>
    </xf>
    <xf numFmtId="207" fontId="2" fillId="16" borderId="4" xfId="14" applyNumberFormat="1" applyFont="1" applyFill="1" applyBorder="1" applyAlignment="1">
      <alignment horizontal="center" vertical="center" wrapText="1"/>
    </xf>
    <xf numFmtId="207" fontId="1" fillId="0" borderId="0" xfId="0" applyNumberFormat="1" applyFont="1" applyFill="1" applyAlignment="1">
      <alignment horizontal="center" vertical="center" wrapText="1"/>
    </xf>
    <xf numFmtId="207" fontId="6" fillId="28" borderId="4" xfId="14" applyNumberFormat="1" applyFont="1" applyFill="1" applyBorder="1" applyAlignment="1">
      <alignment horizontal="center" vertical="center" wrapText="1"/>
    </xf>
    <xf numFmtId="207" fontId="1" fillId="13" borderId="0" xfId="0" applyNumberFormat="1" applyFont="1" applyFill="1" applyAlignment="1">
      <alignment horizontal="center" vertical="center" wrapText="1"/>
    </xf>
    <xf numFmtId="207" fontId="2" fillId="28" borderId="4" xfId="14" applyNumberFormat="1" applyFont="1" applyFill="1" applyBorder="1" applyAlignment="1">
      <alignment horizontal="center" vertical="center" wrapText="1"/>
    </xf>
    <xf numFmtId="207" fontId="6" fillId="28" borderId="4" xfId="14" applyNumberFormat="1" applyFont="1" applyFill="1" applyBorder="1" applyAlignment="1">
      <alignment vertical="center" wrapText="1"/>
    </xf>
    <xf numFmtId="207" fontId="1" fillId="28" borderId="4" xfId="14" applyNumberFormat="1" applyFont="1" applyFill="1" applyBorder="1" applyAlignment="1">
      <alignment horizontal="center" vertical="center" wrapText="1"/>
    </xf>
    <xf numFmtId="207" fontId="61" fillId="3" borderId="4" xfId="14" applyNumberFormat="1" applyFont="1" applyFill="1" applyBorder="1" applyAlignment="1">
      <alignment horizontal="center" vertical="center" wrapText="1"/>
    </xf>
    <xf numFmtId="207" fontId="4" fillId="0" borderId="0" xfId="0" applyNumberFormat="1" applyFont="1" applyFill="1" applyAlignment="1">
      <alignment vertical="center" wrapText="1"/>
    </xf>
    <xf numFmtId="207" fontId="4" fillId="2" borderId="4" xfId="0" applyNumberFormat="1" applyFont="1" applyFill="1" applyBorder="1" applyAlignment="1">
      <alignment vertical="center" wrapText="1"/>
    </xf>
    <xf numFmtId="207" fontId="4" fillId="2" borderId="0" xfId="0" applyNumberFormat="1" applyFont="1" applyFill="1" applyAlignment="1">
      <alignment vertical="center" wrapText="1"/>
    </xf>
    <xf numFmtId="184" fontId="4" fillId="0" borderId="0" xfId="14" applyNumberFormat="1" applyFont="1" applyFill="1" applyBorder="1" applyAlignment="1">
      <alignment horizontal="center" vertical="center" wrapText="1"/>
    </xf>
    <xf numFmtId="207" fontId="4" fillId="0" borderId="0" xfId="14" applyNumberFormat="1" applyFont="1" applyFill="1" applyBorder="1" applyAlignment="1">
      <alignment horizontal="center" vertical="center" wrapText="1"/>
    </xf>
    <xf numFmtId="207" fontId="4" fillId="0" borderId="0" xfId="0" applyNumberFormat="1" applyFont="1" applyFill="1" applyBorder="1" applyAlignment="1">
      <alignment horizontal="center" vertical="center" wrapText="1"/>
    </xf>
    <xf numFmtId="0" fontId="4" fillId="0" borderId="0" xfId="272" applyNumberFormat="1" applyFont="1" applyFill="1" applyBorder="1" applyAlignment="1">
      <alignment horizontal="centerContinuous" vertical="center" wrapText="1"/>
    </xf>
    <xf numFmtId="207" fontId="1" fillId="0" borderId="0" xfId="34" applyNumberFormat="1" applyFont="1" applyFill="1" applyBorder="1" applyAlignment="1">
      <alignment horizontal="centerContinuous" vertical="center" wrapText="1"/>
    </xf>
    <xf numFmtId="207" fontId="1" fillId="0" borderId="0" xfId="0" applyNumberFormat="1" applyFont="1" applyFill="1" applyBorder="1" applyAlignment="1">
      <alignment horizontal="centerContinuous" vertical="center" wrapText="1"/>
    </xf>
    <xf numFmtId="207" fontId="1" fillId="0" borderId="0" xfId="34" applyNumberFormat="1" applyFont="1" applyFill="1" applyBorder="1" applyAlignment="1">
      <alignment horizontal="centerContinuous" vertical="center"/>
    </xf>
    <xf numFmtId="207" fontId="1" fillId="0" borderId="0" xfId="20" applyNumberFormat="1" applyFont="1" applyFill="1" applyBorder="1" applyAlignment="1">
      <alignment vertical="center" wrapText="1"/>
    </xf>
    <xf numFmtId="207" fontId="65" fillId="0" borderId="0" xfId="34" applyNumberFormat="1" applyFont="1" applyFill="1" applyBorder="1" applyAlignment="1">
      <alignment horizontal="left" vertical="center"/>
    </xf>
    <xf numFmtId="41" fontId="59" fillId="0" borderId="0" xfId="90" applyFont="1"/>
    <xf numFmtId="41" fontId="59" fillId="28" borderId="4" xfId="90" applyFont="1" applyFill="1" applyBorder="1" applyAlignment="1">
      <alignment horizontal="center"/>
    </xf>
    <xf numFmtId="41" fontId="1" fillId="28" borderId="4" xfId="90" applyFont="1" applyFill="1" applyBorder="1" applyAlignment="1">
      <alignment horizontal="center"/>
    </xf>
    <xf numFmtId="41" fontId="1" fillId="0" borderId="0" xfId="90" applyFont="1" applyFill="1" applyBorder="1" applyAlignment="1">
      <alignment horizontal="center"/>
    </xf>
    <xf numFmtId="41" fontId="59" fillId="0" borderId="0" xfId="90" applyFont="1" applyFill="1" applyBorder="1" applyAlignment="1">
      <alignment horizontal="center"/>
    </xf>
    <xf numFmtId="41" fontId="1" fillId="0" borderId="4" xfId="90" applyFont="1" applyBorder="1"/>
    <xf numFmtId="41" fontId="59" fillId="0" borderId="4" xfId="90" applyFont="1" applyBorder="1"/>
    <xf numFmtId="41" fontId="59" fillId="0" borderId="0" xfId="90" applyFont="1" applyFill="1" applyBorder="1"/>
    <xf numFmtId="41" fontId="1" fillId="28" borderId="4" xfId="90" applyFont="1" applyFill="1" applyBorder="1"/>
    <xf numFmtId="41" fontId="59" fillId="28" borderId="4" xfId="90" applyFont="1" applyFill="1" applyBorder="1"/>
    <xf numFmtId="41" fontId="1" fillId="0" borderId="4" xfId="90" applyFont="1" applyBorder="1" applyAlignment="1">
      <alignment horizontal="center"/>
    </xf>
    <xf numFmtId="41" fontId="1" fillId="0" borderId="0" xfId="90" applyFont="1" applyBorder="1" applyAlignment="1">
      <alignment horizontal="center"/>
    </xf>
    <xf numFmtId="41" fontId="1" fillId="0" borderId="0" xfId="90" applyFont="1" applyBorder="1"/>
    <xf numFmtId="41" fontId="59" fillId="0" borderId="0" xfId="90" applyFont="1" applyBorder="1"/>
    <xf numFmtId="41" fontId="66" fillId="0" borderId="0" xfId="90" applyFont="1"/>
    <xf numFmtId="41" fontId="1" fillId="28" borderId="26" xfId="90" applyFont="1" applyFill="1" applyBorder="1" applyAlignment="1">
      <alignment horizontal="center"/>
    </xf>
    <xf numFmtId="41" fontId="1" fillId="28" borderId="12" xfId="90" applyFont="1" applyFill="1" applyBorder="1" applyAlignment="1">
      <alignment horizontal="center"/>
    </xf>
    <xf numFmtId="186" fontId="67" fillId="2" borderId="0" xfId="29" applyNumberFormat="1" applyFont="1" applyFill="1" applyAlignment="1" applyProtection="1">
      <alignment horizontal="center"/>
    </xf>
    <xf numFmtId="186" fontId="68" fillId="2" borderId="0" xfId="29" applyNumberFormat="1" applyFont="1" applyFill="1" applyProtection="1"/>
    <xf numFmtId="186" fontId="67" fillId="2" borderId="0" xfId="29" applyNumberFormat="1" applyFont="1" applyFill="1" applyBorder="1" applyProtection="1"/>
    <xf numFmtId="0" fontId="67" fillId="2" borderId="0" xfId="29" applyNumberFormat="1" applyFont="1" applyFill="1" applyProtection="1"/>
    <xf numFmtId="212" fontId="67" fillId="2" borderId="0" xfId="29" applyNumberFormat="1" applyFont="1" applyFill="1" applyProtection="1"/>
    <xf numFmtId="0" fontId="67" fillId="0" borderId="0" xfId="128" applyFont="1" applyFill="1" applyProtection="1"/>
    <xf numFmtId="0" fontId="69" fillId="15" borderId="0" xfId="0" applyFont="1" applyFill="1"/>
    <xf numFmtId="186" fontId="67" fillId="0" borderId="0" xfId="29" applyNumberFormat="1" applyFont="1" applyFill="1"/>
    <xf numFmtId="186" fontId="67" fillId="0" borderId="0" xfId="29" applyNumberFormat="1" applyFont="1" applyFill="1" applyAlignment="1">
      <alignment horizontal="center"/>
    </xf>
    <xf numFmtId="3" fontId="67" fillId="0" borderId="0" xfId="29" applyNumberFormat="1" applyFont="1" applyFill="1"/>
    <xf numFmtId="186" fontId="67" fillId="2" borderId="0" xfId="29" applyNumberFormat="1" applyFont="1" applyFill="1" applyProtection="1"/>
    <xf numFmtId="186" fontId="67" fillId="29" borderId="26" xfId="29" applyNumberFormat="1" applyFont="1" applyFill="1" applyBorder="1" applyAlignment="1" applyProtection="1">
      <alignment horizontal="center" vertical="center"/>
    </xf>
    <xf numFmtId="186" fontId="67" fillId="29" borderId="4" xfId="29" applyNumberFormat="1" applyFont="1" applyFill="1" applyBorder="1" applyAlignment="1" applyProtection="1">
      <alignment horizontal="center"/>
    </xf>
    <xf numFmtId="186" fontId="67" fillId="29" borderId="12" xfId="29" applyNumberFormat="1" applyFont="1" applyFill="1" applyBorder="1" applyAlignment="1" applyProtection="1">
      <alignment horizontal="center" vertical="center"/>
    </xf>
    <xf numFmtId="186" fontId="70" fillId="2" borderId="4" xfId="29" applyNumberFormat="1" applyFont="1" applyFill="1" applyBorder="1" applyAlignment="1" applyProtection="1"/>
    <xf numFmtId="14" fontId="67" fillId="0" borderId="4" xfId="189" applyNumberFormat="1" applyFont="1" applyFill="1" applyBorder="1" applyAlignment="1">
      <alignment horizontal="center"/>
    </xf>
    <xf numFmtId="14" fontId="70" fillId="0" borderId="4" xfId="382" applyNumberFormat="1" applyFont="1" applyFill="1" applyBorder="1" applyAlignment="1" applyProtection="1">
      <alignment horizontal="center" vertical="center"/>
      <protection locked="0"/>
    </xf>
    <xf numFmtId="14" fontId="67" fillId="2" borderId="0" xfId="29" applyNumberFormat="1" applyFont="1" applyFill="1" applyBorder="1" applyProtection="1"/>
    <xf numFmtId="186" fontId="67" fillId="29" borderId="5" xfId="29" applyNumberFormat="1" applyFont="1" applyFill="1" applyBorder="1" applyProtection="1"/>
    <xf numFmtId="0" fontId="67" fillId="2" borderId="4" xfId="29" applyNumberFormat="1" applyFont="1" applyFill="1" applyBorder="1" applyAlignment="1" applyProtection="1">
      <alignment horizontal="left"/>
    </xf>
    <xf numFmtId="0" fontId="67" fillId="2" borderId="4" xfId="29" applyNumberFormat="1" applyFont="1" applyFill="1" applyBorder="1" applyAlignment="1" applyProtection="1">
      <alignment horizontal="center"/>
    </xf>
    <xf numFmtId="0" fontId="67" fillId="2" borderId="4" xfId="0" applyNumberFormat="1" applyFont="1" applyFill="1" applyBorder="1" applyAlignment="1" applyProtection="1">
      <alignment horizontal="center"/>
    </xf>
    <xf numFmtId="0" fontId="67" fillId="2" borderId="4" xfId="29" applyNumberFormat="1" applyFont="1" applyFill="1" applyBorder="1" applyProtection="1"/>
    <xf numFmtId="212" fontId="67" fillId="2" borderId="0" xfId="29" applyNumberFormat="1" applyFont="1" applyFill="1" applyAlignment="1" applyProtection="1">
      <alignment horizontal="center"/>
    </xf>
    <xf numFmtId="186" fontId="71" fillId="2" borderId="0" xfId="29" applyNumberFormat="1" applyFont="1" applyFill="1"/>
    <xf numFmtId="9" fontId="67" fillId="0" borderId="0" xfId="293" applyFont="1" applyFill="1" applyBorder="1" applyAlignment="1" applyProtection="1">
      <alignment vertical="center"/>
    </xf>
    <xf numFmtId="9" fontId="67" fillId="0" borderId="0" xfId="293" applyFont="1" applyFill="1" applyBorder="1" applyProtection="1"/>
    <xf numFmtId="0" fontId="67" fillId="30" borderId="4" xfId="128" applyFont="1" applyFill="1" applyBorder="1" applyAlignment="1" applyProtection="1">
      <alignment horizontal="left"/>
    </xf>
    <xf numFmtId="3" fontId="72" fillId="30" borderId="4" xfId="29" applyNumberFormat="1" applyFont="1" applyFill="1" applyBorder="1" applyAlignment="1" applyProtection="1">
      <alignment horizontal="center"/>
    </xf>
    <xf numFmtId="9" fontId="67" fillId="2" borderId="4" xfId="293" applyFont="1" applyFill="1" applyBorder="1" applyProtection="1"/>
    <xf numFmtId="189" fontId="67" fillId="2" borderId="4" xfId="293" applyNumberFormat="1" applyFont="1" applyFill="1" applyBorder="1" applyProtection="1"/>
    <xf numFmtId="186" fontId="67" fillId="2" borderId="4" xfId="29" applyNumberFormat="1" applyFont="1" applyFill="1" applyBorder="1" applyAlignment="1">
      <alignment horizontal="left"/>
    </xf>
    <xf numFmtId="186" fontId="67" fillId="5" borderId="4" xfId="29" applyNumberFormat="1" applyFont="1" applyFill="1" applyBorder="1" applyAlignment="1">
      <alignment horizontal="center"/>
    </xf>
    <xf numFmtId="3" fontId="67" fillId="2" borderId="4" xfId="29" applyNumberFormat="1" applyFont="1" applyFill="1" applyBorder="1" applyAlignment="1">
      <alignment horizontal="right"/>
    </xf>
    <xf numFmtId="186" fontId="67" fillId="2" borderId="4" xfId="29" applyNumberFormat="1" applyFont="1" applyFill="1" applyBorder="1" applyAlignment="1">
      <alignment horizontal="right"/>
    </xf>
    <xf numFmtId="3" fontId="67" fillId="0" borderId="4" xfId="29" applyNumberFormat="1" applyFont="1" applyFill="1" applyBorder="1" applyAlignment="1">
      <alignment horizontal="right"/>
    </xf>
    <xf numFmtId="0" fontId="67" fillId="0" borderId="0" xfId="128" applyFont="1" applyFill="1" applyBorder="1" applyProtection="1"/>
    <xf numFmtId="183" fontId="67" fillId="2" borderId="0" xfId="14" applyNumberFormat="1" applyFont="1" applyFill="1" applyProtection="1"/>
    <xf numFmtId="0" fontId="25" fillId="0" borderId="0" xfId="259" applyFont="1"/>
    <xf numFmtId="186" fontId="4" fillId="29" borderId="26" xfId="14" applyNumberFormat="1" applyFont="1" applyFill="1" applyBorder="1" applyAlignment="1">
      <alignment horizontal="center"/>
    </xf>
    <xf numFmtId="186" fontId="4" fillId="15" borderId="26" xfId="14" applyNumberFormat="1" applyFont="1" applyFill="1" applyBorder="1" applyAlignment="1">
      <alignment horizontal="center"/>
    </xf>
    <xf numFmtId="186" fontId="1" fillId="15" borderId="4" xfId="14" applyNumberFormat="1" applyFont="1" applyFill="1" applyBorder="1" applyAlignment="1">
      <alignment horizontal="left" vertical="center"/>
    </xf>
    <xf numFmtId="186" fontId="1" fillId="15" borderId="4" xfId="14" applyNumberFormat="1" applyFont="1" applyFill="1" applyBorder="1"/>
    <xf numFmtId="186" fontId="67" fillId="15" borderId="4" xfId="14" applyNumberFormat="1" applyFont="1" applyFill="1" applyBorder="1"/>
    <xf numFmtId="186" fontId="25" fillId="0" borderId="0" xfId="259" applyNumberFormat="1" applyFont="1"/>
    <xf numFmtId="186" fontId="59" fillId="0" borderId="4" xfId="14" applyNumberFormat="1" applyFont="1" applyFill="1" applyBorder="1" applyAlignment="1">
      <alignment horizontal="left" vertical="center"/>
    </xf>
    <xf numFmtId="186" fontId="1" fillId="0" borderId="4" xfId="14" applyNumberFormat="1" applyFont="1" applyFill="1" applyBorder="1"/>
    <xf numFmtId="186" fontId="1" fillId="0" borderId="4" xfId="14" applyNumberFormat="1" applyFont="1" applyFill="1" applyBorder="1" applyAlignment="1">
      <alignment horizontal="left" vertical="center"/>
    </xf>
    <xf numFmtId="186" fontId="59" fillId="0" borderId="4" xfId="14" applyNumberFormat="1" applyFont="1" applyFill="1" applyBorder="1"/>
    <xf numFmtId="186" fontId="59" fillId="15" borderId="4" xfId="14" applyNumberFormat="1" applyFont="1" applyFill="1" applyBorder="1"/>
    <xf numFmtId="10" fontId="67" fillId="15" borderId="4" xfId="18" applyNumberFormat="1" applyFont="1" applyFill="1" applyBorder="1"/>
    <xf numFmtId="193" fontId="67" fillId="15" borderId="4" xfId="18" applyNumberFormat="1" applyFont="1" applyFill="1" applyBorder="1"/>
    <xf numFmtId="10" fontId="1" fillId="28" borderId="4" xfId="18" applyNumberFormat="1" applyFont="1" applyFill="1" applyBorder="1" applyAlignment="1">
      <alignment horizontal="left" vertical="center"/>
    </xf>
    <xf numFmtId="10" fontId="1" fillId="28" borderId="4" xfId="18" applyNumberFormat="1" applyFont="1" applyFill="1" applyBorder="1" applyAlignment="1">
      <alignment vertical="center"/>
    </xf>
    <xf numFmtId="10" fontId="67" fillId="28" borderId="4" xfId="18" applyNumberFormat="1" applyFont="1" applyFill="1" applyBorder="1" applyAlignment="1">
      <alignment vertical="center"/>
    </xf>
    <xf numFmtId="2" fontId="25" fillId="0" borderId="0" xfId="259" applyNumberFormat="1" applyFont="1"/>
    <xf numFmtId="0" fontId="55" fillId="31" borderId="0" xfId="259" applyFont="1" applyFill="1"/>
    <xf numFmtId="43" fontId="25" fillId="0" borderId="0" xfId="259" applyNumberFormat="1" applyFont="1"/>
    <xf numFmtId="186" fontId="67" fillId="31" borderId="4" xfId="14" applyNumberFormat="1" applyFont="1" applyFill="1" applyBorder="1"/>
    <xf numFmtId="186" fontId="59" fillId="15" borderId="4" xfId="14" applyNumberFormat="1" applyFont="1" applyFill="1" applyBorder="1" applyAlignment="1">
      <alignment horizontal="left" vertical="center"/>
    </xf>
    <xf numFmtId="186" fontId="66" fillId="0" borderId="0" xfId="14" applyNumberFormat="1" applyFont="1"/>
    <xf numFmtId="202" fontId="66" fillId="0" borderId="0" xfId="14" applyNumberFormat="1" applyFont="1" applyAlignment="1">
      <alignment horizontal="center"/>
    </xf>
    <xf numFmtId="186" fontId="59" fillId="0" borderId="0" xfId="14" applyNumberFormat="1" applyFont="1" applyBorder="1"/>
    <xf numFmtId="186" fontId="59" fillId="0" borderId="0" xfId="14" applyNumberFormat="1" applyFont="1" applyAlignment="1">
      <alignment horizontal="left"/>
    </xf>
    <xf numFmtId="186" fontId="59" fillId="0" borderId="0" xfId="14" applyNumberFormat="1" applyFont="1" applyAlignment="1"/>
    <xf numFmtId="186" fontId="59" fillId="0" borderId="0" xfId="14" applyNumberFormat="1" applyFont="1"/>
    <xf numFmtId="186" fontId="4" fillId="3" borderId="26" xfId="14" applyNumberFormat="1" applyFont="1" applyFill="1" applyBorder="1" applyAlignment="1">
      <alignment horizontal="left" vertical="center"/>
    </xf>
    <xf numFmtId="186" fontId="4" fillId="3" borderId="26" xfId="14" applyNumberFormat="1" applyFont="1" applyFill="1" applyBorder="1" applyAlignment="1">
      <alignment horizontal="center" vertical="center"/>
    </xf>
    <xf numFmtId="202" fontId="59" fillId="3" borderId="4" xfId="443" applyNumberFormat="1" applyFont="1" applyFill="1" applyBorder="1" applyAlignment="1">
      <alignment horizontal="center" vertical="center"/>
    </xf>
    <xf numFmtId="186" fontId="4" fillId="3" borderId="12" xfId="14" applyNumberFormat="1" applyFont="1" applyFill="1" applyBorder="1" applyAlignment="1">
      <alignment horizontal="left" vertical="center"/>
    </xf>
    <xf numFmtId="186" fontId="4" fillId="3" borderId="12" xfId="14" applyNumberFormat="1" applyFont="1" applyFill="1" applyBorder="1" applyAlignment="1">
      <alignment horizontal="center" vertical="center"/>
    </xf>
    <xf numFmtId="198" fontId="59" fillId="3" borderId="4" xfId="443" applyFont="1" applyFill="1" applyBorder="1" applyAlignment="1">
      <alignment horizontal="center" vertical="center"/>
    </xf>
    <xf numFmtId="186" fontId="65" fillId="4" borderId="12" xfId="14" applyNumberFormat="1" applyFont="1" applyFill="1" applyBorder="1" applyAlignment="1">
      <alignment horizontal="left" vertical="center"/>
    </xf>
    <xf numFmtId="41" fontId="59" fillId="4" borderId="12" xfId="90" applyFont="1" applyFill="1" applyBorder="1" applyAlignment="1">
      <alignment vertical="center"/>
    </xf>
    <xf numFmtId="0" fontId="1" fillId="16" borderId="4" xfId="0" applyFont="1" applyFill="1" applyBorder="1" applyAlignment="1">
      <alignment horizontal="left"/>
    </xf>
    <xf numFmtId="41" fontId="59" fillId="16" borderId="12" xfId="90" applyFont="1" applyFill="1" applyBorder="1" applyAlignment="1">
      <alignment vertical="center"/>
    </xf>
    <xf numFmtId="41" fontId="59" fillId="5" borderId="12" xfId="90" applyFont="1" applyFill="1" applyBorder="1" applyAlignment="1"/>
    <xf numFmtId="186" fontId="65" fillId="4" borderId="4" xfId="14" applyNumberFormat="1" applyFont="1" applyFill="1" applyBorder="1" applyAlignment="1">
      <alignment horizontal="left"/>
    </xf>
    <xf numFmtId="41" fontId="59" fillId="4" borderId="4" xfId="90" applyFont="1" applyFill="1" applyBorder="1" applyAlignment="1">
      <alignment vertical="center"/>
    </xf>
    <xf numFmtId="186" fontId="59" fillId="5" borderId="4" xfId="14" applyNumberFormat="1" applyFont="1" applyFill="1" applyBorder="1" applyAlignment="1"/>
    <xf numFmtId="41" fontId="59" fillId="4" borderId="4" xfId="90" applyFont="1" applyFill="1" applyBorder="1" applyAlignment="1"/>
    <xf numFmtId="41" fontId="59" fillId="5" borderId="4" xfId="90" applyFont="1" applyFill="1" applyBorder="1" applyAlignment="1"/>
    <xf numFmtId="41" fontId="59" fillId="3" borderId="4" xfId="90" applyFont="1" applyFill="1" applyBorder="1" applyAlignment="1"/>
    <xf numFmtId="186" fontId="73" fillId="2" borderId="0" xfId="14" applyNumberFormat="1" applyFont="1" applyFill="1" applyBorder="1" applyAlignment="1">
      <alignment horizontal="left"/>
    </xf>
    <xf numFmtId="215" fontId="1" fillId="0" borderId="0" xfId="14" applyNumberFormat="1" applyFont="1" applyBorder="1" applyAlignment="1">
      <alignment vertical="center"/>
    </xf>
    <xf numFmtId="215" fontId="59" fillId="0" borderId="0" xfId="14" applyNumberFormat="1" applyFont="1" applyBorder="1" applyAlignment="1"/>
    <xf numFmtId="186" fontId="59" fillId="3" borderId="4" xfId="90" applyNumberFormat="1" applyFont="1" applyFill="1" applyBorder="1" applyAlignment="1"/>
    <xf numFmtId="193" fontId="59" fillId="3" borderId="4" xfId="18" applyNumberFormat="1" applyFont="1" applyFill="1" applyBorder="1" applyAlignment="1"/>
    <xf numFmtId="186" fontId="4" fillId="3" borderId="26" xfId="14" applyNumberFormat="1" applyFont="1" applyFill="1" applyBorder="1" applyAlignment="1">
      <alignment vertical="center"/>
    </xf>
    <xf numFmtId="186" fontId="4" fillId="3" borderId="12" xfId="14" applyNumberFormat="1" applyFont="1" applyFill="1" applyBorder="1" applyAlignment="1">
      <alignment vertical="center"/>
    </xf>
    <xf numFmtId="43" fontId="59" fillId="0" borderId="0" xfId="14" applyFont="1" applyAlignment="1">
      <alignment horizontal="left"/>
    </xf>
    <xf numFmtId="186" fontId="1" fillId="0" borderId="0" xfId="14" applyNumberFormat="1" applyFont="1" applyAlignment="1"/>
    <xf numFmtId="43" fontId="1" fillId="0" borderId="0" xfId="14" applyFont="1" applyAlignment="1">
      <alignment horizontal="left"/>
    </xf>
    <xf numFmtId="186" fontId="59" fillId="5" borderId="4" xfId="90" applyNumberFormat="1" applyFont="1" applyFill="1" applyBorder="1" applyAlignment="1"/>
    <xf numFmtId="43" fontId="59" fillId="5" borderId="4" xfId="90" applyNumberFormat="1" applyFont="1" applyFill="1" applyBorder="1" applyAlignment="1"/>
    <xf numFmtId="43" fontId="59" fillId="3" borderId="4" xfId="90" applyNumberFormat="1" applyFont="1" applyFill="1" applyBorder="1" applyAlignment="1"/>
    <xf numFmtId="186" fontId="1" fillId="0" borderId="0" xfId="14" applyNumberFormat="1" applyFont="1" applyAlignment="1">
      <alignment horizontal="left"/>
    </xf>
    <xf numFmtId="198" fontId="1" fillId="15" borderId="0" xfId="443" applyFont="1" applyFill="1">
      <alignment vertical="center"/>
    </xf>
    <xf numFmtId="198" fontId="1" fillId="0" borderId="0" xfId="443" applyFont="1">
      <alignment vertical="center"/>
    </xf>
    <xf numFmtId="198" fontId="1" fillId="0" borderId="0" xfId="443" applyFont="1" applyAlignment="1">
      <alignment horizontal="center" vertical="center"/>
    </xf>
    <xf numFmtId="198" fontId="1" fillId="3" borderId="4" xfId="443" applyFont="1" applyFill="1" applyBorder="1">
      <alignment vertical="center"/>
    </xf>
    <xf numFmtId="198" fontId="1" fillId="3" borderId="4" xfId="443" applyFont="1" applyFill="1" applyBorder="1" applyAlignment="1">
      <alignment horizontal="center" vertical="center"/>
    </xf>
    <xf numFmtId="198" fontId="1" fillId="5" borderId="4" xfId="443" applyFont="1" applyFill="1" applyBorder="1">
      <alignment vertical="center"/>
    </xf>
    <xf numFmtId="198" fontId="1" fillId="5" borderId="4" xfId="443" applyFont="1" applyFill="1" applyBorder="1" applyAlignment="1">
      <alignment horizontal="center" vertical="center"/>
    </xf>
    <xf numFmtId="198" fontId="1" fillId="3" borderId="4" xfId="443" applyFont="1" applyFill="1" applyBorder="1" applyAlignment="1">
      <alignment horizontal="left" vertical="center"/>
    </xf>
    <xf numFmtId="186" fontId="1" fillId="15" borderId="4" xfId="300" applyNumberFormat="1" applyFont="1" applyFill="1" applyBorder="1" applyAlignment="1"/>
    <xf numFmtId="186" fontId="1" fillId="15" borderId="4" xfId="300" applyNumberFormat="1" applyFont="1" applyFill="1" applyBorder="1" applyAlignment="1">
      <alignment horizontal="center"/>
    </xf>
    <xf numFmtId="186" fontId="74" fillId="15" borderId="4" xfId="300" applyNumberFormat="1" applyFont="1" applyFill="1" applyBorder="1" applyAlignment="1">
      <alignment horizontal="center"/>
    </xf>
    <xf numFmtId="198" fontId="1" fillId="28" borderId="4" xfId="443" applyFont="1" applyFill="1" applyBorder="1">
      <alignment vertical="center"/>
    </xf>
    <xf numFmtId="198" fontId="1" fillId="28" borderId="4" xfId="443" applyFont="1" applyFill="1" applyBorder="1" applyAlignment="1">
      <alignment horizontal="center" vertical="center"/>
    </xf>
    <xf numFmtId="198" fontId="1" fillId="15" borderId="4" xfId="443" applyFont="1" applyFill="1" applyBorder="1" applyAlignment="1">
      <alignment horizontal="center" vertical="center"/>
    </xf>
    <xf numFmtId="186" fontId="74" fillId="15" borderId="4" xfId="300" applyNumberFormat="1" applyFont="1" applyFill="1" applyBorder="1" applyAlignment="1">
      <alignment horizontal="right"/>
    </xf>
    <xf numFmtId="0" fontId="1" fillId="0" borderId="0" xfId="0" applyFont="1" applyFill="1" applyAlignment="1">
      <alignment horizontal="center"/>
    </xf>
    <xf numFmtId="0" fontId="59" fillId="0" borderId="0" xfId="0" applyFont="1" applyFill="1" applyAlignment="1">
      <alignment horizontal="center"/>
    </xf>
    <xf numFmtId="0" fontId="75" fillId="0" borderId="0" xfId="0" applyFont="1" applyFill="1" applyAlignment="1">
      <alignment horizontal="center" wrapText="1"/>
    </xf>
    <xf numFmtId="0" fontId="4" fillId="5" borderId="4" xfId="0" applyFont="1" applyFill="1" applyBorder="1" applyAlignment="1">
      <alignment horizontal="center"/>
    </xf>
    <xf numFmtId="0" fontId="1" fillId="0" borderId="4" xfId="0" applyFont="1" applyFill="1" applyBorder="1" applyAlignment="1" applyProtection="1">
      <alignment horizontal="center"/>
    </xf>
    <xf numFmtId="186" fontId="59" fillId="3" borderId="4" xfId="14" applyNumberFormat="1" applyFont="1" applyFill="1" applyBorder="1" applyAlignment="1">
      <alignment horizontal="center" vertical="center"/>
    </xf>
    <xf numFmtId="0" fontId="1" fillId="0" borderId="4" xfId="0" applyFont="1" applyFill="1" applyBorder="1" applyAlignment="1">
      <alignment horizontal="center"/>
    </xf>
    <xf numFmtId="186" fontId="1" fillId="0" borderId="0" xfId="0" applyNumberFormat="1" applyFont="1" applyFill="1" applyAlignment="1">
      <alignment horizontal="center"/>
    </xf>
    <xf numFmtId="186" fontId="59" fillId="0" borderId="0" xfId="0" applyNumberFormat="1" applyFont="1" applyFill="1" applyAlignment="1">
      <alignment horizontal="center"/>
    </xf>
    <xf numFmtId="0" fontId="4" fillId="5" borderId="4" xfId="0" applyFont="1" applyFill="1" applyBorder="1" applyAlignment="1">
      <alignment horizontal="center" wrapText="1"/>
    </xf>
    <xf numFmtId="0" fontId="1" fillId="0" borderId="4" xfId="0" applyFont="1" applyFill="1" applyBorder="1" applyAlignment="1">
      <alignment horizontal="center" wrapText="1"/>
    </xf>
    <xf numFmtId="43" fontId="59" fillId="3" borderId="4" xfId="14" applyNumberFormat="1" applyFont="1" applyFill="1" applyBorder="1" applyAlignment="1">
      <alignment horizontal="center" vertical="center"/>
    </xf>
    <xf numFmtId="186" fontId="1" fillId="0" borderId="4" xfId="14" applyNumberFormat="1" applyFont="1" applyFill="1" applyBorder="1" applyAlignment="1">
      <alignment horizontal="center"/>
    </xf>
    <xf numFmtId="0" fontId="1" fillId="0" borderId="0" xfId="0" applyFont="1" applyFill="1" applyAlignment="1">
      <alignment horizontal="center" wrapText="1"/>
    </xf>
    <xf numFmtId="176" fontId="59" fillId="0" borderId="0" xfId="0" applyNumberFormat="1" applyFont="1" applyFill="1" applyAlignment="1">
      <alignment horizontal="center"/>
    </xf>
    <xf numFmtId="43" fontId="59" fillId="0" borderId="0" xfId="14" applyFont="1" applyAlignment="1">
      <alignment horizontal="center" vertical="center"/>
    </xf>
    <xf numFmtId="43" fontId="59" fillId="0" borderId="0" xfId="14" applyFont="1"/>
    <xf numFmtId="186" fontId="59" fillId="15" borderId="0" xfId="14" applyNumberFormat="1" applyFont="1" applyFill="1"/>
    <xf numFmtId="0" fontId="59" fillId="0" borderId="0" xfId="0" applyFont="1"/>
    <xf numFmtId="186" fontId="4" fillId="0" borderId="0" xfId="14" applyNumberFormat="1" applyFont="1" applyAlignment="1">
      <alignment horizontal="left"/>
    </xf>
    <xf numFmtId="0" fontId="4" fillId="0" borderId="0" xfId="0" applyFont="1"/>
    <xf numFmtId="186" fontId="59" fillId="29" borderId="4" xfId="14" applyNumberFormat="1" applyFont="1" applyFill="1" applyBorder="1" applyAlignment="1">
      <alignment horizontal="left" vertical="center"/>
    </xf>
    <xf numFmtId="43" fontId="59" fillId="29" borderId="4" xfId="14" applyFont="1" applyFill="1" applyBorder="1" applyAlignment="1">
      <alignment horizontal="center" vertical="center"/>
    </xf>
    <xf numFmtId="186" fontId="1" fillId="29" borderId="4" xfId="14" applyNumberFormat="1" applyFont="1" applyFill="1" applyBorder="1" applyAlignment="1">
      <alignment horizontal="left" vertical="center"/>
    </xf>
    <xf numFmtId="43" fontId="1" fillId="29" borderId="4" xfId="14" applyFont="1" applyFill="1" applyBorder="1" applyAlignment="1">
      <alignment horizontal="center" vertical="center"/>
    </xf>
    <xf numFmtId="186" fontId="59" fillId="3" borderId="4" xfId="14" applyNumberFormat="1" applyFont="1" applyFill="1" applyBorder="1" applyAlignment="1">
      <alignment horizontal="left" vertical="center"/>
    </xf>
    <xf numFmtId="186" fontId="1" fillId="3" borderId="4" xfId="14" applyNumberFormat="1" applyFont="1" applyFill="1" applyBorder="1" applyAlignment="1">
      <alignment horizontal="left" vertical="center"/>
    </xf>
    <xf numFmtId="43" fontId="1" fillId="0" borderId="0" xfId="14" applyFont="1"/>
    <xf numFmtId="9" fontId="59" fillId="15" borderId="4" xfId="18" applyFont="1" applyFill="1" applyBorder="1" applyAlignment="1">
      <alignment horizontal="right" vertical="center"/>
    </xf>
    <xf numFmtId="193" fontId="59" fillId="0" borderId="0" xfId="18" applyNumberFormat="1" applyFont="1"/>
    <xf numFmtId="43" fontId="33" fillId="0" borderId="0" xfId="14" applyFont="1" applyAlignment="1">
      <alignment horizontal="left"/>
    </xf>
    <xf numFmtId="9" fontId="59" fillId="0" borderId="0" xfId="18" applyNumberFormat="1" applyFont="1"/>
    <xf numFmtId="186" fontId="4" fillId="29" borderId="26" xfId="14" applyNumberFormat="1" applyFont="1" applyFill="1" applyBorder="1" applyAlignment="1">
      <alignment horizontal="left" vertical="center"/>
    </xf>
    <xf numFmtId="186" fontId="66" fillId="29" borderId="12" xfId="14" applyNumberFormat="1" applyFont="1" applyFill="1" applyBorder="1" applyAlignment="1">
      <alignment horizontal="left" vertical="center"/>
    </xf>
    <xf numFmtId="186" fontId="1" fillId="0" borderId="4" xfId="14" applyNumberFormat="1" applyFont="1" applyBorder="1" applyAlignment="1">
      <alignment horizontal="left"/>
    </xf>
    <xf numFmtId="186" fontId="59" fillId="0" borderId="4" xfId="14" applyNumberFormat="1" applyFont="1" applyBorder="1"/>
    <xf numFmtId="186" fontId="59" fillId="13" borderId="4" xfId="14" applyNumberFormat="1" applyFont="1" applyFill="1" applyBorder="1" applyAlignment="1">
      <alignment horizontal="center" vertical="center"/>
    </xf>
    <xf numFmtId="43" fontId="59" fillId="13" borderId="4" xfId="14" applyNumberFormat="1" applyFont="1" applyFill="1" applyBorder="1" applyAlignment="1">
      <alignment horizontal="center" vertical="center"/>
    </xf>
    <xf numFmtId="193" fontId="59" fillId="13" borderId="4" xfId="18" applyNumberFormat="1" applyFont="1" applyFill="1" applyBorder="1" applyAlignment="1">
      <alignment horizontal="center" vertical="center"/>
    </xf>
    <xf numFmtId="9" fontId="59" fillId="3" borderId="4" xfId="18" applyFont="1" applyFill="1" applyBorder="1" applyAlignment="1">
      <alignment horizontal="center" vertical="center"/>
    </xf>
    <xf numFmtId="43" fontId="59" fillId="0" borderId="4" xfId="14" applyNumberFormat="1" applyFont="1" applyBorder="1"/>
    <xf numFmtId="43" fontId="59" fillId="0" borderId="4" xfId="14" applyFont="1" applyBorder="1"/>
    <xf numFmtId="202" fontId="1" fillId="0" borderId="0" xfId="443" applyNumberFormat="1" applyFont="1">
      <alignment vertical="center"/>
    </xf>
    <xf numFmtId="186" fontId="1" fillId="0" borderId="0" xfId="14" applyNumberFormat="1" applyFont="1" applyAlignment="1">
      <alignment vertical="center"/>
    </xf>
    <xf numFmtId="198" fontId="1" fillId="0" borderId="0" xfId="443" applyFont="1" applyFill="1">
      <alignment vertical="center"/>
    </xf>
    <xf numFmtId="202" fontId="1" fillId="3" borderId="26" xfId="443" applyNumberFormat="1" applyFont="1" applyFill="1" applyBorder="1" applyAlignment="1">
      <alignment horizontal="center" vertical="center"/>
    </xf>
    <xf numFmtId="202" fontId="1" fillId="3" borderId="12" xfId="443" applyNumberFormat="1" applyFont="1" applyFill="1" applyBorder="1" applyAlignment="1">
      <alignment horizontal="center" vertical="center"/>
    </xf>
    <xf numFmtId="198" fontId="1" fillId="0" borderId="4" xfId="443" applyFont="1" applyBorder="1" applyAlignment="1">
      <alignment horizontal="center" vertical="center"/>
    </xf>
    <xf numFmtId="198" fontId="1" fillId="0" borderId="4" xfId="443" applyFont="1" applyBorder="1">
      <alignment vertical="center"/>
    </xf>
    <xf numFmtId="198" fontId="76" fillId="28" borderId="4" xfId="443" applyFont="1" applyFill="1" applyBorder="1">
      <alignment vertical="center"/>
    </xf>
    <xf numFmtId="215" fontId="66" fillId="5" borderId="4" xfId="300" applyNumberFormat="1" applyFont="1" applyFill="1" applyBorder="1" applyAlignment="1">
      <alignment horizontal="left"/>
    </xf>
    <xf numFmtId="215" fontId="1" fillId="0" borderId="4" xfId="300" applyNumberFormat="1" applyFont="1" applyFill="1" applyBorder="1" applyAlignment="1">
      <alignment horizontal="right"/>
    </xf>
    <xf numFmtId="186" fontId="1" fillId="0" borderId="4" xfId="443" applyNumberFormat="1" applyFont="1" applyBorder="1">
      <alignment vertical="center"/>
    </xf>
    <xf numFmtId="198" fontId="67" fillId="17" borderId="4" xfId="443" applyFont="1" applyFill="1" applyBorder="1" applyAlignment="1">
      <alignment horizontal="right" vertical="center"/>
    </xf>
    <xf numFmtId="198" fontId="67" fillId="3" borderId="4" xfId="443" applyFont="1" applyFill="1" applyBorder="1" applyAlignment="1">
      <alignment horizontal="right" vertical="center"/>
    </xf>
    <xf numFmtId="198" fontId="67" fillId="3" borderId="4" xfId="443" applyFont="1" applyFill="1" applyBorder="1" applyAlignment="1">
      <alignment horizontal="center" vertical="center"/>
    </xf>
    <xf numFmtId="186" fontId="1" fillId="28" borderId="4" xfId="14" applyNumberFormat="1" applyFont="1" applyFill="1" applyBorder="1" applyAlignment="1">
      <alignment vertical="center"/>
    </xf>
    <xf numFmtId="186" fontId="4" fillId="28" borderId="4" xfId="14" applyNumberFormat="1" applyFont="1" applyFill="1" applyBorder="1" applyAlignment="1">
      <alignment vertical="center"/>
    </xf>
    <xf numFmtId="186" fontId="1" fillId="13" borderId="4" xfId="14" applyNumberFormat="1" applyFont="1" applyFill="1" applyBorder="1" applyAlignment="1">
      <alignment vertical="center"/>
    </xf>
    <xf numFmtId="43" fontId="1" fillId="28" borderId="4" xfId="14" applyNumberFormat="1" applyFont="1" applyFill="1" applyBorder="1" applyAlignment="1">
      <alignment vertical="center"/>
    </xf>
    <xf numFmtId="198" fontId="1" fillId="0" borderId="12" xfId="443" applyFont="1" applyFill="1" applyBorder="1">
      <alignment vertical="center"/>
    </xf>
    <xf numFmtId="193" fontId="1" fillId="0" borderId="12" xfId="18" applyNumberFormat="1" applyFont="1" applyFill="1" applyBorder="1" applyAlignment="1">
      <alignment vertical="center"/>
    </xf>
    <xf numFmtId="10" fontId="1" fillId="0" borderId="0" xfId="18" applyNumberFormat="1" applyFont="1" applyFill="1" applyBorder="1" applyAlignment="1">
      <alignment vertical="center"/>
    </xf>
    <xf numFmtId="193" fontId="1" fillId="0" borderId="0" xfId="18" applyNumberFormat="1" applyFont="1" applyAlignment="1">
      <alignment vertical="center"/>
    </xf>
    <xf numFmtId="9" fontId="1" fillId="0" borderId="0" xfId="18" applyFont="1" applyAlignment="1">
      <alignment vertical="center"/>
    </xf>
    <xf numFmtId="210" fontId="1" fillId="0" borderId="0" xfId="443" applyNumberFormat="1" applyFont="1">
      <alignment vertical="center"/>
    </xf>
    <xf numFmtId="217" fontId="1" fillId="0" borderId="4" xfId="443" applyNumberFormat="1" applyFont="1" applyBorder="1">
      <alignment vertical="center"/>
    </xf>
    <xf numFmtId="209" fontId="1" fillId="0" borderId="0" xfId="443" applyNumberFormat="1" applyFont="1">
      <alignment vertical="center"/>
    </xf>
    <xf numFmtId="198" fontId="76" fillId="3" borderId="4" xfId="443" applyFont="1" applyFill="1" applyBorder="1">
      <alignment vertical="center"/>
    </xf>
    <xf numFmtId="186" fontId="1" fillId="15" borderId="4" xfId="300" applyNumberFormat="1" applyFont="1" applyFill="1" applyBorder="1" applyAlignment="1">
      <alignment horizontal="left"/>
    </xf>
    <xf numFmtId="198" fontId="1" fillId="15" borderId="4" xfId="443" applyFont="1" applyFill="1" applyBorder="1">
      <alignment vertical="center"/>
    </xf>
    <xf numFmtId="0" fontId="4" fillId="0" borderId="0" xfId="354" applyFont="1">
      <alignment vertical="center"/>
    </xf>
    <xf numFmtId="0" fontId="1" fillId="0" borderId="0" xfId="354" applyFont="1">
      <alignment vertical="center"/>
    </xf>
    <xf numFmtId="0" fontId="4" fillId="28" borderId="4" xfId="189" applyFont="1" applyFill="1" applyBorder="1" applyAlignment="1">
      <alignment horizontal="center" vertical="center"/>
    </xf>
    <xf numFmtId="194" fontId="4" fillId="28" borderId="4" xfId="189" applyNumberFormat="1" applyFont="1" applyFill="1" applyBorder="1" applyAlignment="1">
      <alignment horizontal="center" vertical="center"/>
    </xf>
    <xf numFmtId="182" fontId="1" fillId="0" borderId="4" xfId="189" applyNumberFormat="1" applyFont="1" applyFill="1" applyBorder="1" applyAlignment="1">
      <alignment vertical="center"/>
    </xf>
    <xf numFmtId="186" fontId="1" fillId="0" borderId="4" xfId="14" applyNumberFormat="1" applyFont="1" applyFill="1" applyBorder="1" applyAlignment="1">
      <alignment vertical="center"/>
    </xf>
    <xf numFmtId="182" fontId="4" fillId="28" borderId="4" xfId="189" applyNumberFormat="1" applyFont="1" applyFill="1" applyBorder="1" applyAlignment="1">
      <alignment horizontal="center" vertical="center"/>
    </xf>
    <xf numFmtId="186" fontId="4" fillId="28" borderId="4" xfId="14" applyNumberFormat="1" applyFont="1" applyFill="1" applyBorder="1" applyAlignment="1">
      <alignment horizontal="center" vertical="center"/>
    </xf>
    <xf numFmtId="41" fontId="1" fillId="0" borderId="0" xfId="90" applyFont="1" applyAlignment="1">
      <alignment vertical="center"/>
    </xf>
    <xf numFmtId="0" fontId="4" fillId="28" borderId="4" xfId="376" applyFont="1" applyFill="1" applyBorder="1" applyAlignment="1">
      <alignment horizontal="center"/>
    </xf>
    <xf numFmtId="14" fontId="1" fillId="0" borderId="4" xfId="376" applyNumberFormat="1" applyFont="1" applyFill="1" applyBorder="1" applyAlignment="1">
      <alignment horizontal="center"/>
    </xf>
    <xf numFmtId="14" fontId="1" fillId="0" borderId="0" xfId="354" applyNumberFormat="1" applyFont="1">
      <alignment vertical="center"/>
    </xf>
    <xf numFmtId="186" fontId="1" fillId="3" borderId="4" xfId="14" applyNumberFormat="1" applyFont="1" applyFill="1" applyBorder="1" applyAlignment="1">
      <alignment horizontal="center" vertical="center"/>
    </xf>
    <xf numFmtId="0" fontId="4" fillId="28" borderId="4" xfId="189" applyFont="1" applyFill="1" applyBorder="1" applyAlignment="1">
      <alignment horizontal="center"/>
    </xf>
    <xf numFmtId="0" fontId="4" fillId="28" borderId="4" xfId="354" applyFont="1" applyFill="1" applyBorder="1" applyAlignment="1">
      <alignment horizontal="center"/>
    </xf>
    <xf numFmtId="14" fontId="1" fillId="0" borderId="4" xfId="189" applyNumberFormat="1" applyFont="1" applyFill="1" applyBorder="1"/>
    <xf numFmtId="220" fontId="1" fillId="3" borderId="4" xfId="14" applyNumberFormat="1" applyFont="1" applyFill="1" applyBorder="1" applyAlignment="1">
      <alignment horizontal="center" vertical="center"/>
    </xf>
    <xf numFmtId="193" fontId="4" fillId="0" borderId="4" xfId="18" applyNumberFormat="1" applyFont="1" applyFill="1" applyBorder="1" applyAlignment="1">
      <alignment horizontal="center"/>
    </xf>
    <xf numFmtId="0" fontId="4" fillId="0" borderId="4" xfId="189" applyFont="1" applyFill="1" applyBorder="1" applyAlignment="1">
      <alignment horizontal="center"/>
    </xf>
    <xf numFmtId="186" fontId="4" fillId="0" borderId="4" xfId="14" applyNumberFormat="1" applyFont="1" applyFill="1" applyBorder="1" applyAlignment="1">
      <alignment horizontal="center" vertical="center"/>
    </xf>
    <xf numFmtId="193" fontId="4" fillId="0" borderId="4" xfId="18" applyNumberFormat="1" applyFont="1" applyFill="1" applyBorder="1" applyAlignment="1">
      <alignment horizontal="center" vertical="center"/>
    </xf>
    <xf numFmtId="0" fontId="4" fillId="28" borderId="26" xfId="376" applyFont="1" applyFill="1" applyBorder="1" applyAlignment="1">
      <alignment horizontal="center" vertical="center" wrapText="1"/>
    </xf>
    <xf numFmtId="0" fontId="4" fillId="28" borderId="12" xfId="376" applyFont="1" applyFill="1" applyBorder="1" applyAlignment="1">
      <alignment horizontal="center" vertical="center" wrapText="1"/>
    </xf>
    <xf numFmtId="10" fontId="76" fillId="0" borderId="4" xfId="376" applyNumberFormat="1" applyFont="1" applyFill="1" applyBorder="1" applyAlignment="1">
      <alignment horizontal="center"/>
    </xf>
    <xf numFmtId="0" fontId="4" fillId="13" borderId="4" xfId="376" applyFont="1" applyFill="1" applyBorder="1" applyAlignment="1">
      <alignment horizontal="center"/>
    </xf>
    <xf numFmtId="9" fontId="4" fillId="0" borderId="4" xfId="376" applyNumberFormat="1" applyFont="1" applyFill="1" applyBorder="1" applyAlignment="1">
      <alignment horizontal="center"/>
    </xf>
    <xf numFmtId="9" fontId="4" fillId="0" borderId="0" xfId="376" applyNumberFormat="1" applyFont="1" applyFill="1" applyBorder="1" applyAlignment="1">
      <alignment horizontal="center"/>
    </xf>
    <xf numFmtId="0" fontId="1" fillId="0" borderId="0" xfId="0" applyFont="1"/>
    <xf numFmtId="186" fontId="59" fillId="0" borderId="0" xfId="0" applyNumberFormat="1" applyFont="1"/>
    <xf numFmtId="10" fontId="59" fillId="0" borderId="4" xfId="18" applyNumberFormat="1" applyFont="1" applyBorder="1"/>
    <xf numFmtId="193" fontId="1" fillId="3" borderId="4" xfId="18" applyNumberFormat="1" applyFont="1" applyFill="1" applyBorder="1" applyAlignment="1">
      <alignment horizontal="center" vertical="center"/>
    </xf>
    <xf numFmtId="186" fontId="4" fillId="28" borderId="4" xfId="14" applyNumberFormat="1" applyFont="1" applyFill="1" applyBorder="1" applyAlignment="1">
      <alignment horizontal="right" vertical="center"/>
    </xf>
    <xf numFmtId="193" fontId="4" fillId="28" borderId="4" xfId="18" applyNumberFormat="1" applyFont="1" applyFill="1" applyBorder="1" applyAlignment="1">
      <alignment horizontal="center" vertical="center"/>
    </xf>
    <xf numFmtId="0" fontId="1" fillId="0" borderId="4" xfId="0" applyFont="1" applyBorder="1"/>
    <xf numFmtId="193" fontId="59" fillId="0" borderId="4" xfId="18" applyNumberFormat="1" applyFont="1" applyBorder="1"/>
    <xf numFmtId="193" fontId="77" fillId="0" borderId="4" xfId="18" applyNumberFormat="1" applyFont="1" applyBorder="1"/>
    <xf numFmtId="0" fontId="59" fillId="0" borderId="4" xfId="0" applyFont="1" applyBorder="1"/>
    <xf numFmtId="0" fontId="59" fillId="2" borderId="0" xfId="265" applyFont="1" applyFill="1" applyProtection="1"/>
    <xf numFmtId="193" fontId="59" fillId="2" borderId="0" xfId="18" applyNumberFormat="1" applyFont="1" applyFill="1" applyProtection="1"/>
    <xf numFmtId="0" fontId="4" fillId="2" borderId="0" xfId="265" applyFont="1" applyFill="1" applyProtection="1"/>
    <xf numFmtId="0" fontId="66" fillId="2" borderId="0" xfId="265" applyFont="1" applyFill="1" applyProtection="1"/>
    <xf numFmtId="0" fontId="1" fillId="28" borderId="4" xfId="354" applyFont="1" applyFill="1" applyBorder="1">
      <alignment vertical="center"/>
    </xf>
    <xf numFmtId="3" fontId="59" fillId="2" borderId="4" xfId="18" applyNumberFormat="1" applyFont="1" applyFill="1" applyBorder="1" applyAlignment="1" applyProtection="1">
      <alignment horizontal="center" vertical="center"/>
    </xf>
    <xf numFmtId="0" fontId="1" fillId="0" borderId="4" xfId="354" applyFont="1" applyFill="1" applyBorder="1" applyAlignment="1">
      <alignment horizontal="center"/>
    </xf>
    <xf numFmtId="43" fontId="59" fillId="2" borderId="0" xfId="14" applyNumberFormat="1" applyFont="1" applyFill="1" applyProtection="1"/>
    <xf numFmtId="0" fontId="66" fillId="28" borderId="4" xfId="265" applyFont="1" applyFill="1" applyBorder="1" applyAlignment="1">
      <alignment horizontal="center"/>
    </xf>
    <xf numFmtId="49" fontId="66" fillId="28" borderId="4" xfId="265" applyNumberFormat="1" applyFont="1" applyFill="1" applyBorder="1" applyAlignment="1">
      <alignment horizontal="center" vertical="center"/>
    </xf>
    <xf numFmtId="0" fontId="66" fillId="28" borderId="4" xfId="265" applyFont="1" applyFill="1" applyBorder="1" applyAlignment="1" applyProtection="1">
      <alignment horizontal="center" vertical="center"/>
    </xf>
    <xf numFmtId="196" fontId="59" fillId="2" borderId="4" xfId="18" applyNumberFormat="1" applyFont="1" applyFill="1" applyBorder="1" applyAlignment="1" applyProtection="1">
      <alignment horizontal="center" vertical="center"/>
    </xf>
    <xf numFmtId="193" fontId="1" fillId="2" borderId="4" xfId="18" applyNumberFormat="1" applyFont="1" applyFill="1" applyBorder="1" applyAlignment="1" applyProtection="1">
      <alignment horizontal="left" vertical="center"/>
    </xf>
    <xf numFmtId="3" fontId="59" fillId="2" borderId="4" xfId="18" applyNumberFormat="1" applyFont="1" applyFill="1" applyBorder="1" applyAlignment="1" applyProtection="1">
      <alignment horizontal="right" vertical="center"/>
    </xf>
    <xf numFmtId="193" fontId="59" fillId="2" borderId="26" xfId="18" applyNumberFormat="1" applyFont="1" applyFill="1" applyBorder="1" applyAlignment="1" applyProtection="1">
      <alignment horizontal="left" vertical="center"/>
    </xf>
    <xf numFmtId="3" fontId="59" fillId="2" borderId="26" xfId="18" applyNumberFormat="1" applyFont="1" applyFill="1" applyBorder="1" applyAlignment="1" applyProtection="1">
      <alignment horizontal="right" vertical="center"/>
    </xf>
    <xf numFmtId="186" fontId="66" fillId="2" borderId="0" xfId="14" applyNumberFormat="1" applyFont="1" applyFill="1" applyAlignment="1">
      <alignment horizontal="left"/>
    </xf>
    <xf numFmtId="0" fontId="78" fillId="2" borderId="57" xfId="383" applyFont="1" applyFill="1" applyBorder="1">
      <alignment vertical="center"/>
    </xf>
    <xf numFmtId="3" fontId="79" fillId="2" borderId="58" xfId="383" applyNumberFormat="1" applyFont="1" applyFill="1" applyBorder="1">
      <alignment vertical="center"/>
    </xf>
    <xf numFmtId="193" fontId="66" fillId="28" borderId="4" xfId="18" applyNumberFormat="1" applyFont="1" applyFill="1" applyBorder="1" applyAlignment="1" applyProtection="1">
      <alignment horizontal="center" vertical="center"/>
    </xf>
    <xf numFmtId="0" fontId="59" fillId="2" borderId="26" xfId="265" applyFont="1" applyFill="1" applyBorder="1" applyAlignment="1" applyProtection="1">
      <alignment horizontal="center" vertical="center"/>
    </xf>
    <xf numFmtId="0" fontId="59" fillId="0" borderId="4" xfId="265" applyFont="1" applyFill="1" applyBorder="1" applyAlignment="1" applyProtection="1">
      <alignment vertical="center"/>
    </xf>
    <xf numFmtId="10" fontId="59" fillId="15" borderId="4" xfId="18" applyNumberFormat="1" applyFont="1" applyFill="1" applyBorder="1" applyAlignment="1" applyProtection="1">
      <alignment horizontal="center" vertical="center"/>
    </xf>
    <xf numFmtId="0" fontId="66" fillId="28" borderId="4" xfId="265" applyFont="1" applyFill="1" applyBorder="1" applyAlignment="1">
      <alignment horizontal="center" vertical="center"/>
    </xf>
    <xf numFmtId="49" fontId="4" fillId="28" borderId="4" xfId="265" applyNumberFormat="1" applyFont="1" applyFill="1" applyBorder="1" applyAlignment="1">
      <alignment horizontal="center" vertical="center"/>
    </xf>
    <xf numFmtId="0" fontId="4" fillId="28" borderId="4" xfId="265" applyFont="1" applyFill="1" applyBorder="1" applyAlignment="1" applyProtection="1">
      <alignment horizontal="center" vertical="center"/>
    </xf>
    <xf numFmtId="0" fontId="59" fillId="2" borderId="27" xfId="265" applyFont="1" applyFill="1" applyBorder="1" applyAlignment="1" applyProtection="1">
      <alignment horizontal="center" vertical="center"/>
    </xf>
    <xf numFmtId="1" fontId="59" fillId="2" borderId="4" xfId="265" applyNumberFormat="1" applyFont="1" applyFill="1" applyBorder="1" applyProtection="1"/>
    <xf numFmtId="193" fontId="59" fillId="2" borderId="4" xfId="18" applyNumberFormat="1" applyFont="1" applyFill="1" applyBorder="1" applyAlignment="1">
      <alignment horizontal="right" vertical="center"/>
    </xf>
    <xf numFmtId="0" fontId="1" fillId="2" borderId="4" xfId="265" applyFont="1" applyFill="1" applyBorder="1" applyProtection="1"/>
    <xf numFmtId="0" fontId="59" fillId="2" borderId="4" xfId="265" applyFont="1" applyFill="1" applyBorder="1" applyProtection="1"/>
    <xf numFmtId="10" fontId="59" fillId="2" borderId="4" xfId="265" applyNumberFormat="1" applyFont="1" applyFill="1" applyBorder="1" applyAlignment="1" applyProtection="1">
      <alignment horizontal="center" vertical="center"/>
    </xf>
    <xf numFmtId="0" fontId="59" fillId="2" borderId="12" xfId="265" applyFont="1" applyFill="1" applyBorder="1" applyAlignment="1" applyProtection="1">
      <alignment horizontal="center" vertical="center"/>
    </xf>
    <xf numFmtId="186" fontId="59" fillId="2" borderId="4" xfId="14" applyNumberFormat="1" applyFont="1" applyFill="1" applyBorder="1" applyAlignment="1" applyProtection="1">
      <alignment horizontal="right" vertical="center"/>
    </xf>
    <xf numFmtId="0" fontId="1" fillId="2" borderId="26" xfId="265" applyFont="1" applyFill="1" applyBorder="1" applyAlignment="1" applyProtection="1">
      <alignment horizontal="center" vertical="center"/>
    </xf>
    <xf numFmtId="193" fontId="59" fillId="0" borderId="4" xfId="18" applyNumberFormat="1" applyFont="1" applyFill="1" applyBorder="1" applyProtection="1"/>
    <xf numFmtId="3" fontId="59" fillId="2" borderId="4" xfId="14" applyNumberFormat="1" applyFont="1" applyFill="1" applyBorder="1" applyAlignment="1" applyProtection="1">
      <alignment horizontal="center" vertical="center"/>
    </xf>
    <xf numFmtId="0" fontId="1" fillId="2" borderId="27" xfId="265" applyFont="1" applyFill="1" applyBorder="1" applyAlignment="1" applyProtection="1">
      <alignment horizontal="center" vertical="center"/>
    </xf>
    <xf numFmtId="193" fontId="1" fillId="0" borderId="4" xfId="18" applyNumberFormat="1" applyFont="1" applyFill="1" applyBorder="1" applyProtection="1"/>
    <xf numFmtId="10" fontId="59" fillId="2" borderId="0" xfId="18" applyNumberFormat="1" applyFont="1" applyFill="1" applyProtection="1"/>
    <xf numFmtId="0" fontId="80" fillId="2" borderId="0" xfId="265" applyFont="1" applyFill="1" applyProtection="1"/>
    <xf numFmtId="0" fontId="1" fillId="2" borderId="4" xfId="265" applyFont="1" applyFill="1" applyBorder="1" applyAlignment="1" applyProtection="1">
      <alignment vertical="center"/>
    </xf>
    <xf numFmtId="0" fontId="59" fillId="31" borderId="4" xfId="265" applyFont="1" applyFill="1" applyBorder="1" applyAlignment="1" applyProtection="1">
      <alignment vertical="center"/>
    </xf>
    <xf numFmtId="193" fontId="59" fillId="2" borderId="4" xfId="18" applyNumberFormat="1" applyFont="1" applyFill="1" applyBorder="1" applyAlignment="1" applyProtection="1">
      <alignment horizontal="left" vertical="center"/>
    </xf>
    <xf numFmtId="0" fontId="1" fillId="2" borderId="12" xfId="265" applyFont="1" applyFill="1" applyBorder="1" applyAlignment="1" applyProtection="1">
      <alignment horizontal="center" vertical="center"/>
    </xf>
    <xf numFmtId="9" fontId="59" fillId="2" borderId="4" xfId="265" applyNumberFormat="1" applyFont="1" applyFill="1" applyBorder="1" applyAlignment="1" applyProtection="1">
      <alignment horizontal="right" vertical="center"/>
    </xf>
    <xf numFmtId="193" fontId="59" fillId="15" borderId="4" xfId="18" applyNumberFormat="1" applyFont="1" applyFill="1" applyBorder="1" applyAlignment="1" applyProtection="1">
      <alignment horizontal="center" vertical="center"/>
    </xf>
    <xf numFmtId="10" fontId="59" fillId="2" borderId="4" xfId="265" applyNumberFormat="1" applyFont="1" applyFill="1" applyBorder="1" applyAlignment="1" applyProtection="1">
      <alignment vertical="center"/>
    </xf>
    <xf numFmtId="4" fontId="59" fillId="2" borderId="4" xfId="18" applyNumberFormat="1" applyFont="1" applyFill="1" applyBorder="1" applyAlignment="1" applyProtection="1">
      <alignment horizontal="center" vertical="center"/>
    </xf>
    <xf numFmtId="0" fontId="1" fillId="2" borderId="0" xfId="265" applyFont="1" applyFill="1" applyBorder="1" applyAlignment="1" applyProtection="1">
      <alignment horizontal="center" vertical="center"/>
    </xf>
    <xf numFmtId="193" fontId="59" fillId="2" borderId="0" xfId="18" applyNumberFormat="1" applyFont="1" applyFill="1" applyBorder="1" applyProtection="1"/>
    <xf numFmtId="4" fontId="59" fillId="2" borderId="0" xfId="18" applyNumberFormat="1" applyFont="1" applyFill="1" applyBorder="1" applyAlignment="1" applyProtection="1">
      <alignment horizontal="center" vertical="center"/>
    </xf>
    <xf numFmtId="0" fontId="59" fillId="2" borderId="0" xfId="265" applyFont="1" applyFill="1" applyBorder="1" applyAlignment="1" applyProtection="1">
      <alignment horizontal="center" vertical="center"/>
    </xf>
    <xf numFmtId="186" fontId="59" fillId="2" borderId="0" xfId="14" applyNumberFormat="1" applyFont="1" applyFill="1" applyBorder="1" applyProtection="1"/>
    <xf numFmtId="0" fontId="81" fillId="2" borderId="0" xfId="265" applyFont="1" applyFill="1" applyProtection="1"/>
    <xf numFmtId="0" fontId="1" fillId="2" borderId="0" xfId="265" applyFont="1" applyFill="1" applyBorder="1" applyProtection="1"/>
    <xf numFmtId="41" fontId="59" fillId="0" borderId="4" xfId="90" applyFont="1" applyFill="1" applyBorder="1" applyAlignment="1" applyProtection="1">
      <alignment vertical="center"/>
    </xf>
    <xf numFmtId="0" fontId="80" fillId="2" borderId="4" xfId="265" applyFont="1" applyFill="1" applyBorder="1" applyAlignment="1" applyProtection="1">
      <alignment vertical="center"/>
    </xf>
    <xf numFmtId="0" fontId="1" fillId="15" borderId="4" xfId="265" applyFont="1" applyFill="1" applyBorder="1" applyAlignment="1" applyProtection="1">
      <alignment vertical="center"/>
    </xf>
    <xf numFmtId="193" fontId="59" fillId="0" borderId="4" xfId="18" applyNumberFormat="1" applyFont="1" applyFill="1" applyBorder="1" applyAlignment="1" applyProtection="1">
      <alignment vertical="center"/>
    </xf>
    <xf numFmtId="0" fontId="82" fillId="2" borderId="0" xfId="265" applyFont="1" applyFill="1" applyBorder="1" applyAlignment="1">
      <alignment horizontal="left" wrapText="1"/>
    </xf>
    <xf numFmtId="0" fontId="4" fillId="28" borderId="4" xfId="377" applyFont="1" applyFill="1" applyBorder="1" applyAlignment="1" applyProtection="1">
      <alignment horizontal="center"/>
    </xf>
    <xf numFmtId="193" fontId="4" fillId="28" borderId="26" xfId="18" applyNumberFormat="1" applyFont="1" applyFill="1" applyBorder="1" applyAlignment="1" applyProtection="1">
      <alignment horizontal="center" vertical="center"/>
    </xf>
    <xf numFmtId="0" fontId="1" fillId="0" borderId="4" xfId="377" applyFont="1" applyFill="1" applyBorder="1" applyProtection="1"/>
    <xf numFmtId="186" fontId="59" fillId="0" borderId="4" xfId="14" applyNumberFormat="1" applyFont="1" applyFill="1" applyBorder="1" applyProtection="1"/>
    <xf numFmtId="186" fontId="59" fillId="0" borderId="4" xfId="14" applyNumberFormat="1" applyFont="1" applyBorder="1" applyProtection="1"/>
    <xf numFmtId="0" fontId="4" fillId="0" borderId="4" xfId="377" applyFont="1" applyFill="1" applyBorder="1" applyProtection="1"/>
    <xf numFmtId="186" fontId="66" fillId="0" borderId="4" xfId="14" applyNumberFormat="1" applyFont="1" applyFill="1" applyBorder="1" applyProtection="1"/>
    <xf numFmtId="186" fontId="66" fillId="0" borderId="4" xfId="14" applyNumberFormat="1" applyFont="1" applyBorder="1" applyProtection="1"/>
    <xf numFmtId="186" fontId="77" fillId="0" borderId="4" xfId="14" applyNumberFormat="1" applyFont="1" applyBorder="1" applyProtection="1"/>
    <xf numFmtId="0" fontId="1" fillId="0" borderId="4" xfId="377" applyFont="1" applyBorder="1" applyProtection="1"/>
    <xf numFmtId="0" fontId="59" fillId="0" borderId="4" xfId="377" applyFont="1" applyBorder="1" applyProtection="1"/>
    <xf numFmtId="186" fontId="59" fillId="13" borderId="4" xfId="14" applyNumberFormat="1" applyFont="1" applyFill="1" applyBorder="1" applyProtection="1"/>
    <xf numFmtId="10" fontId="4" fillId="28" borderId="4" xfId="18" applyNumberFormat="1" applyFont="1" applyFill="1" applyBorder="1" applyProtection="1"/>
    <xf numFmtId="10" fontId="66" fillId="28" borderId="4" xfId="18" applyNumberFormat="1" applyFont="1" applyFill="1" applyBorder="1" applyProtection="1"/>
    <xf numFmtId="0" fontId="4" fillId="28" borderId="4" xfId="377" applyFont="1" applyFill="1" applyBorder="1" applyProtection="1"/>
    <xf numFmtId="186" fontId="66" fillId="28" borderId="4" xfId="14" applyNumberFormat="1" applyFont="1" applyFill="1" applyBorder="1" applyProtection="1"/>
    <xf numFmtId="186" fontId="59" fillId="2" borderId="0" xfId="14" applyNumberFormat="1" applyFont="1" applyFill="1" applyProtection="1"/>
    <xf numFmtId="0" fontId="83" fillId="15" borderId="0" xfId="51" applyFont="1" applyFill="1" applyBorder="1" applyAlignment="1">
      <alignment horizontal="center"/>
    </xf>
    <xf numFmtId="43" fontId="83" fillId="15" borderId="0" xfId="319" applyNumberFormat="1" applyFont="1" applyFill="1" applyBorder="1" applyAlignment="1">
      <alignment horizontal="center"/>
    </xf>
    <xf numFmtId="186" fontId="84" fillId="15" borderId="0" xfId="51" applyNumberFormat="1" applyFont="1" applyFill="1" applyBorder="1" applyAlignment="1">
      <alignment horizontal="center"/>
    </xf>
    <xf numFmtId="0" fontId="85" fillId="2" borderId="0" xfId="265" applyFont="1" applyFill="1" applyProtection="1"/>
    <xf numFmtId="3" fontId="59" fillId="15" borderId="4" xfId="18" applyNumberFormat="1" applyFont="1" applyFill="1" applyBorder="1" applyAlignment="1" applyProtection="1">
      <alignment horizontal="right" vertical="center"/>
    </xf>
    <xf numFmtId="0" fontId="1" fillId="13" borderId="4" xfId="265" applyFont="1" applyFill="1" applyBorder="1" applyAlignment="1" applyProtection="1">
      <alignment horizontal="center" vertical="center"/>
    </xf>
    <xf numFmtId="0" fontId="1" fillId="13" borderId="4" xfId="265" applyFont="1" applyFill="1" applyBorder="1" applyAlignment="1" applyProtection="1">
      <alignment horizontal="left" vertical="center"/>
    </xf>
    <xf numFmtId="43" fontId="59" fillId="13" borderId="4" xfId="14" applyNumberFormat="1" applyFont="1" applyFill="1" applyBorder="1" applyAlignment="1" applyProtection="1">
      <alignment horizontal="center" vertical="center"/>
    </xf>
    <xf numFmtId="3" fontId="59" fillId="13" borderId="4" xfId="18" applyNumberFormat="1" applyFont="1" applyFill="1" applyBorder="1" applyAlignment="1" applyProtection="1">
      <alignment horizontal="right" vertical="center"/>
    </xf>
    <xf numFmtId="0" fontId="1" fillId="13" borderId="4" xfId="265" applyFont="1" applyFill="1" applyBorder="1" applyProtection="1"/>
    <xf numFmtId="43" fontId="66" fillId="13" borderId="4" xfId="14" applyNumberFormat="1" applyFont="1" applyFill="1" applyBorder="1" applyAlignment="1" applyProtection="1">
      <alignment horizontal="center" vertical="center"/>
    </xf>
    <xf numFmtId="3" fontId="37" fillId="2" borderId="0" xfId="383" applyNumberFormat="1" applyFont="1" applyFill="1">
      <alignment vertical="center"/>
    </xf>
    <xf numFmtId="3" fontId="59" fillId="2" borderId="4" xfId="265" applyNumberFormat="1" applyFont="1" applyFill="1" applyBorder="1" applyAlignment="1" applyProtection="1">
      <alignment horizontal="right" vertical="center"/>
    </xf>
    <xf numFmtId="186" fontId="59" fillId="2" borderId="4" xfId="14" applyNumberFormat="1" applyFont="1" applyFill="1" applyBorder="1" applyAlignment="1" applyProtection="1">
      <alignment vertical="center"/>
    </xf>
    <xf numFmtId="186" fontId="59" fillId="2" borderId="0" xfId="265" applyNumberFormat="1" applyFont="1" applyFill="1" applyProtection="1"/>
    <xf numFmtId="186" fontId="59" fillId="2" borderId="4" xfId="265" applyNumberFormat="1" applyFont="1" applyFill="1" applyBorder="1" applyProtection="1"/>
    <xf numFmtId="186" fontId="59" fillId="2" borderId="4" xfId="265" applyNumberFormat="1" applyFont="1" applyFill="1" applyBorder="1" applyAlignment="1" applyProtection="1">
      <alignment horizontal="center" vertical="center"/>
    </xf>
    <xf numFmtId="0" fontId="1" fillId="2" borderId="0" xfId="265" applyFont="1" applyFill="1" applyProtection="1"/>
    <xf numFmtId="186" fontId="37" fillId="2" borderId="0" xfId="383" applyNumberFormat="1" applyFont="1" applyFill="1">
      <alignment vertical="center"/>
    </xf>
    <xf numFmtId="0" fontId="1" fillId="31" borderId="4" xfId="265" applyFont="1" applyFill="1" applyBorder="1" applyAlignment="1" applyProtection="1">
      <alignment vertical="center"/>
    </xf>
    <xf numFmtId="0" fontId="37" fillId="2" borderId="0" xfId="383" applyFont="1" applyFill="1">
      <alignment vertical="center"/>
    </xf>
    <xf numFmtId="0" fontId="86" fillId="2" borderId="0" xfId="383" applyFont="1" applyFill="1">
      <alignment vertical="center"/>
    </xf>
    <xf numFmtId="0" fontId="82" fillId="2" borderId="0" xfId="265" applyFont="1" applyFill="1" applyBorder="1" applyAlignment="1">
      <alignment horizontal="center"/>
    </xf>
    <xf numFmtId="41" fontId="59" fillId="0" borderId="4" xfId="90" applyFont="1" applyFill="1" applyBorder="1" applyAlignment="1" applyProtection="1">
      <alignment horizontal="center" vertical="center"/>
    </xf>
    <xf numFmtId="41" fontId="59" fillId="13" borderId="4" xfId="90" applyFont="1" applyFill="1" applyBorder="1" applyAlignment="1" applyProtection="1">
      <alignment horizontal="center" vertical="center"/>
    </xf>
    <xf numFmtId="41" fontId="86" fillId="2" borderId="0" xfId="383" applyNumberFormat="1" applyFont="1" applyFill="1">
      <alignment vertical="center"/>
    </xf>
    <xf numFmtId="3" fontId="59" fillId="2" borderId="0" xfId="265" applyNumberFormat="1" applyFont="1" applyFill="1" applyProtection="1"/>
    <xf numFmtId="9" fontId="1" fillId="2" borderId="0" xfId="18" applyFont="1" applyFill="1" applyProtection="1"/>
    <xf numFmtId="0" fontId="59" fillId="15" borderId="0" xfId="0" applyFont="1" applyFill="1"/>
    <xf numFmtId="0" fontId="0" fillId="15" borderId="0" xfId="0" applyFill="1"/>
    <xf numFmtId="0" fontId="87" fillId="15" borderId="0" xfId="0" applyFont="1" applyFill="1" applyAlignment="1">
      <alignment horizontal="center"/>
    </xf>
    <xf numFmtId="0" fontId="1" fillId="15" borderId="0" xfId="0" applyFont="1" applyFill="1"/>
    <xf numFmtId="0" fontId="88" fillId="32" borderId="4" xfId="0" applyFont="1" applyFill="1" applyBorder="1" applyAlignment="1">
      <alignment horizontal="center" vertical="center" wrapText="1" readingOrder="1"/>
    </xf>
    <xf numFmtId="0" fontId="89" fillId="0" borderId="4" xfId="0" applyFont="1" applyBorder="1" applyAlignment="1">
      <alignment horizontal="center" vertical="center" wrapText="1" readingOrder="1"/>
    </xf>
    <xf numFmtId="3" fontId="90" fillId="0" borderId="4" xfId="0" applyNumberFormat="1" applyFont="1" applyBorder="1" applyAlignment="1">
      <alignment horizontal="center" vertical="center" wrapText="1" readingOrder="1"/>
    </xf>
    <xf numFmtId="3" fontId="91" fillId="0" borderId="4" xfId="0" applyNumberFormat="1" applyFont="1" applyBorder="1" applyAlignment="1">
      <alignment horizontal="left" vertical="center" wrapText="1" readingOrder="1"/>
    </xf>
    <xf numFmtId="14" fontId="90" fillId="0" borderId="4" xfId="0" applyNumberFormat="1" applyFont="1" applyBorder="1" applyAlignment="1">
      <alignment horizontal="center" vertical="center" wrapText="1" readingOrder="1"/>
    </xf>
    <xf numFmtId="0" fontId="27" fillId="0" borderId="4" xfId="0" applyFont="1" applyBorder="1" applyAlignment="1">
      <alignment horizontal="center" vertical="center" wrapText="1"/>
    </xf>
    <xf numFmtId="0" fontId="92" fillId="33" borderId="59" xfId="0" applyFont="1" applyFill="1" applyBorder="1" applyAlignment="1">
      <alignment horizontal="center" vertical="center" wrapText="1" readingOrder="1"/>
    </xf>
    <xf numFmtId="0" fontId="93" fillId="33" borderId="59" xfId="0" applyFont="1" applyFill="1" applyBorder="1" applyAlignment="1">
      <alignment horizontal="center" vertical="center" wrapText="1" readingOrder="1"/>
    </xf>
    <xf numFmtId="0" fontId="89" fillId="13" borderId="59" xfId="0" applyFont="1" applyFill="1" applyBorder="1" applyAlignment="1">
      <alignment horizontal="left" vertical="center" wrapText="1" indent="1" readingOrder="1"/>
    </xf>
    <xf numFmtId="186" fontId="91" fillId="0" borderId="59" xfId="14" applyNumberFormat="1" applyFont="1" applyBorder="1" applyAlignment="1">
      <alignment horizontal="center" vertical="center" wrapText="1" readingOrder="1"/>
    </xf>
    <xf numFmtId="0" fontId="89" fillId="0" borderId="59" xfId="0" applyFont="1" applyBorder="1" applyAlignment="1">
      <alignment horizontal="left" vertical="center" wrapText="1" indent="1" readingOrder="1"/>
    </xf>
    <xf numFmtId="186" fontId="89" fillId="0" borderId="59" xfId="14" applyNumberFormat="1" applyFont="1" applyBorder="1" applyAlignment="1">
      <alignment horizontal="center" vertical="center" wrapText="1" readingOrder="1"/>
    </xf>
    <xf numFmtId="186" fontId="91" fillId="0" borderId="59" xfId="14" applyNumberFormat="1" applyFont="1" applyBorder="1" applyAlignment="1">
      <alignment horizontal="left" wrapText="1" readingOrder="1"/>
    </xf>
    <xf numFmtId="10" fontId="91" fillId="0" borderId="59" xfId="0" applyNumberFormat="1" applyFont="1" applyBorder="1" applyAlignment="1">
      <alignment horizontal="center" vertical="center" wrapText="1" readingOrder="1"/>
    </xf>
    <xf numFmtId="0" fontId="94" fillId="33" borderId="60" xfId="0" applyFont="1" applyFill="1" applyBorder="1" applyAlignment="1">
      <alignment horizontal="center" vertical="center" wrapText="1" readingOrder="1"/>
    </xf>
    <xf numFmtId="0" fontId="94" fillId="33" borderId="61" xfId="0" applyFont="1" applyFill="1" applyBorder="1" applyAlignment="1">
      <alignment horizontal="center" vertical="center" wrapText="1" readingOrder="1"/>
    </xf>
    <xf numFmtId="0" fontId="89" fillId="0" borderId="59" xfId="0" applyFont="1" applyBorder="1" applyAlignment="1">
      <alignment horizontal="left" vertical="center" wrapText="1" readingOrder="1"/>
    </xf>
    <xf numFmtId="3" fontId="91" fillId="0" borderId="59" xfId="0" applyNumberFormat="1" applyFont="1" applyBorder="1" applyAlignment="1">
      <alignment horizontal="center" vertical="center" wrapText="1" readingOrder="1"/>
    </xf>
    <xf numFmtId="0" fontId="88" fillId="29" borderId="59" xfId="0" applyFont="1" applyFill="1" applyBorder="1" applyAlignment="1">
      <alignment horizontal="center" vertical="center" wrapText="1" readingOrder="1"/>
    </xf>
    <xf numFmtId="0" fontId="89" fillId="29" borderId="59" xfId="0" applyFont="1" applyFill="1" applyBorder="1" applyAlignment="1">
      <alignment horizontal="center" vertical="center" wrapText="1" readingOrder="1"/>
    </xf>
    <xf numFmtId="0" fontId="95" fillId="32" borderId="59" xfId="0" applyFont="1" applyFill="1" applyBorder="1" applyAlignment="1">
      <alignment horizontal="center" vertical="center" wrapText="1" readingOrder="1"/>
    </xf>
    <xf numFmtId="0" fontId="91" fillId="32" borderId="59" xfId="0" applyFont="1" applyFill="1" applyBorder="1" applyAlignment="1">
      <alignment horizontal="center" vertical="center" wrapText="1" readingOrder="1"/>
    </xf>
    <xf numFmtId="57" fontId="91" fillId="0" borderId="59" xfId="0" applyNumberFormat="1" applyFont="1" applyBorder="1" applyAlignment="1">
      <alignment horizontal="center" vertical="center" wrapText="1" readingOrder="1"/>
    </xf>
    <xf numFmtId="3" fontId="91" fillId="32" borderId="59" xfId="0" applyNumberFormat="1" applyFont="1" applyFill="1" applyBorder="1" applyAlignment="1">
      <alignment horizontal="center" vertical="center" wrapText="1" readingOrder="1"/>
    </xf>
    <xf numFmtId="0" fontId="91" fillId="0" borderId="59" xfId="0" applyFont="1" applyBorder="1" applyAlignment="1">
      <alignment horizontal="center" vertical="center" wrapText="1" readingOrder="1"/>
    </xf>
    <xf numFmtId="9" fontId="91" fillId="0" borderId="59" xfId="0" applyNumberFormat="1" applyFont="1" applyBorder="1" applyAlignment="1">
      <alignment horizontal="center" vertical="center" wrapText="1" readingOrder="1"/>
    </xf>
    <xf numFmtId="9" fontId="91" fillId="32" borderId="59" xfId="0" applyNumberFormat="1" applyFont="1" applyFill="1" applyBorder="1" applyAlignment="1">
      <alignment horizontal="center" vertical="center" wrapText="1" readingOrder="1"/>
    </xf>
    <xf numFmtId="10" fontId="76" fillId="29" borderId="59" xfId="0" applyNumberFormat="1" applyFont="1" applyFill="1" applyBorder="1" applyAlignment="1">
      <alignment horizontal="center" vertical="center" wrapText="1" readingOrder="1"/>
    </xf>
    <xf numFmtId="10" fontId="76" fillId="0" borderId="59" xfId="0" applyNumberFormat="1" applyFont="1" applyBorder="1" applyAlignment="1">
      <alignment horizontal="center" vertical="center" wrapText="1" readingOrder="1"/>
    </xf>
    <xf numFmtId="0" fontId="89" fillId="0" borderId="59" xfId="0" applyFont="1" applyBorder="1" applyAlignment="1">
      <alignment horizontal="center" vertical="center" wrapText="1" readingOrder="1"/>
    </xf>
    <xf numFmtId="3" fontId="89" fillId="0" borderId="59" xfId="0" applyNumberFormat="1" applyFont="1" applyBorder="1" applyAlignment="1">
      <alignment horizontal="center" vertical="center" wrapText="1" readingOrder="1"/>
    </xf>
    <xf numFmtId="220" fontId="59" fillId="0" borderId="0" xfId="14" applyNumberFormat="1" applyFont="1"/>
    <xf numFmtId="220" fontId="59" fillId="0" borderId="0" xfId="0" applyNumberFormat="1" applyFont="1"/>
    <xf numFmtId="0" fontId="96" fillId="32" borderId="59" xfId="0" applyFont="1" applyFill="1" applyBorder="1" applyAlignment="1">
      <alignment horizontal="center" vertical="center" wrapText="1" readingOrder="1"/>
    </xf>
    <xf numFmtId="3" fontId="96" fillId="32" borderId="59" xfId="0" applyNumberFormat="1" applyFont="1" applyFill="1" applyBorder="1" applyAlignment="1">
      <alignment horizontal="center" vertical="center" wrapText="1" readingOrder="1"/>
    </xf>
    <xf numFmtId="0" fontId="97" fillId="2" borderId="0" xfId="42" applyFont="1" applyFill="1" applyAlignment="1">
      <alignment horizontal="center"/>
    </xf>
    <xf numFmtId="0" fontId="98" fillId="2" borderId="0" xfId="42" applyFont="1" applyFill="1" applyAlignment="1">
      <alignment horizontal="center"/>
    </xf>
    <xf numFmtId="0" fontId="0" fillId="2" borderId="0" xfId="42" applyFont="1" applyFill="1"/>
    <xf numFmtId="200" fontId="0" fillId="2" borderId="0" xfId="42" applyNumberFormat="1" applyFont="1" applyFill="1"/>
    <xf numFmtId="0" fontId="25" fillId="2" borderId="4" xfId="42" applyFont="1" applyFill="1" applyBorder="1" applyAlignment="1">
      <alignment horizontal="center" vertical="center"/>
    </xf>
    <xf numFmtId="0" fontId="1" fillId="2" borderId="4" xfId="42" applyFont="1" applyFill="1" applyBorder="1" applyAlignment="1">
      <alignment horizontal="center" vertical="center" wrapText="1"/>
    </xf>
    <xf numFmtId="0" fontId="1" fillId="2" borderId="5" xfId="42" applyFont="1" applyFill="1" applyBorder="1" applyAlignment="1">
      <alignment horizontal="center" vertical="center" wrapText="1"/>
    </xf>
    <xf numFmtId="0" fontId="1" fillId="2" borderId="20" xfId="42" applyFont="1" applyFill="1" applyBorder="1" applyAlignment="1">
      <alignment horizontal="center" vertical="center" wrapText="1"/>
    </xf>
    <xf numFmtId="0" fontId="1" fillId="2" borderId="4" xfId="42" applyFont="1" applyFill="1" applyBorder="1" applyAlignment="1">
      <alignment horizontal="center" vertical="center"/>
    </xf>
    <xf numFmtId="0" fontId="0" fillId="2" borderId="4" xfId="42" applyFont="1" applyFill="1" applyBorder="1" applyAlignment="1">
      <alignment horizontal="center" vertical="center"/>
    </xf>
    <xf numFmtId="200" fontId="1" fillId="2" borderId="26" xfId="42" applyNumberFormat="1" applyFont="1" applyFill="1" applyBorder="1" applyAlignment="1">
      <alignment horizontal="center" vertical="center" wrapText="1"/>
    </xf>
    <xf numFmtId="0" fontId="1" fillId="2" borderId="26" xfId="42" applyFont="1" applyFill="1" applyBorder="1" applyAlignment="1">
      <alignment horizontal="center" vertical="center" wrapText="1"/>
    </xf>
    <xf numFmtId="0" fontId="1" fillId="0" borderId="26" xfId="42" applyFont="1" applyFill="1" applyBorder="1" applyAlignment="1">
      <alignment horizontal="center" vertical="center" wrapText="1"/>
    </xf>
    <xf numFmtId="0" fontId="0" fillId="2" borderId="4" xfId="42" applyFont="1" applyFill="1" applyBorder="1" applyAlignment="1">
      <alignment horizontal="center" vertical="center" wrapText="1"/>
    </xf>
    <xf numFmtId="200" fontId="1" fillId="2" borderId="12" xfId="42" applyNumberFormat="1" applyFont="1" applyFill="1" applyBorder="1" applyAlignment="1">
      <alignment horizontal="center" vertical="center" wrapText="1"/>
    </xf>
    <xf numFmtId="0" fontId="1" fillId="2" borderId="12" xfId="42" applyFont="1" applyFill="1" applyBorder="1" applyAlignment="1">
      <alignment horizontal="center" vertical="center" wrapText="1"/>
    </xf>
    <xf numFmtId="0" fontId="0" fillId="0" borderId="12" xfId="42" applyFont="1" applyBorder="1" applyAlignment="1">
      <alignment horizontal="center" vertical="center" wrapText="1"/>
    </xf>
    <xf numFmtId="0" fontId="1" fillId="0" borderId="12" xfId="42" applyFont="1" applyFill="1" applyBorder="1" applyAlignment="1">
      <alignment horizontal="center" vertical="center" wrapText="1"/>
    </xf>
    <xf numFmtId="0" fontId="0" fillId="3" borderId="4" xfId="42" applyFont="1" applyFill="1" applyBorder="1"/>
    <xf numFmtId="199" fontId="6" fillId="3" borderId="4" xfId="42" applyNumberFormat="1" applyFont="1" applyFill="1" applyBorder="1" applyAlignment="1">
      <alignment horizontal="right" vertical="center"/>
    </xf>
    <xf numFmtId="215" fontId="6" fillId="3" borderId="4" xfId="42" applyNumberFormat="1" applyFont="1" applyFill="1" applyBorder="1" applyAlignment="1">
      <alignment horizontal="right" vertical="center"/>
    </xf>
    <xf numFmtId="199" fontId="2" fillId="3" borderId="4" xfId="42" applyNumberFormat="1" applyFont="1" applyFill="1" applyBorder="1" applyAlignment="1">
      <alignment horizontal="right" vertical="center"/>
    </xf>
    <xf numFmtId="0" fontId="99" fillId="2" borderId="4" xfId="42" applyFont="1" applyFill="1" applyBorder="1"/>
    <xf numFmtId="199" fontId="6" fillId="2" borderId="4" xfId="42" applyNumberFormat="1" applyFont="1" applyFill="1" applyBorder="1" applyAlignment="1">
      <alignment horizontal="right" vertical="center"/>
    </xf>
    <xf numFmtId="215" fontId="6" fillId="2" borderId="4" xfId="42" applyNumberFormat="1" applyFont="1" applyFill="1" applyBorder="1" applyAlignment="1">
      <alignment horizontal="right" vertical="center"/>
    </xf>
    <xf numFmtId="199" fontId="2" fillId="2" borderId="4" xfId="42" applyNumberFormat="1" applyFont="1" applyFill="1" applyBorder="1" applyAlignment="1">
      <alignment horizontal="right" vertical="center"/>
    </xf>
    <xf numFmtId="199" fontId="2" fillId="2" borderId="4" xfId="42" applyNumberFormat="1" applyFont="1" applyFill="1" applyBorder="1"/>
    <xf numFmtId="199" fontId="0" fillId="2" borderId="0" xfId="42" applyNumberFormat="1" applyFont="1" applyFill="1"/>
    <xf numFmtId="10" fontId="0" fillId="2" borderId="0" xfId="42" applyNumberFormat="1" applyFont="1" applyFill="1"/>
    <xf numFmtId="193" fontId="0" fillId="2" borderId="0" xfId="42" applyNumberFormat="1" applyFont="1" applyFill="1"/>
    <xf numFmtId="215" fontId="0" fillId="2" borderId="0" xfId="42" applyNumberFormat="1" applyFont="1" applyFill="1"/>
    <xf numFmtId="0" fontId="1" fillId="2" borderId="37" xfId="42" applyFont="1" applyFill="1" applyBorder="1" applyAlignment="1">
      <alignment horizontal="center" vertical="center" wrapText="1"/>
    </xf>
    <xf numFmtId="10" fontId="1" fillId="2" borderId="4" xfId="42" applyNumberFormat="1" applyFont="1" applyFill="1" applyBorder="1" applyAlignment="1">
      <alignment horizontal="center" vertical="center" wrapText="1"/>
    </xf>
    <xf numFmtId="193" fontId="1" fillId="2" borderId="4" xfId="42" applyNumberFormat="1" applyFont="1" applyFill="1" applyBorder="1" applyAlignment="1">
      <alignment horizontal="center" vertical="center" wrapText="1"/>
    </xf>
    <xf numFmtId="215" fontId="1" fillId="2" borderId="4" xfId="42" applyNumberFormat="1" applyFont="1" applyFill="1" applyBorder="1" applyAlignment="1">
      <alignment horizontal="center" vertical="center" wrapText="1"/>
    </xf>
    <xf numFmtId="10" fontId="0" fillId="2" borderId="4" xfId="42" applyNumberFormat="1" applyFont="1" applyFill="1" applyBorder="1" applyAlignment="1">
      <alignment horizontal="center" vertical="center" wrapText="1"/>
    </xf>
    <xf numFmtId="193" fontId="0" fillId="2" borderId="4" xfId="42" applyNumberFormat="1" applyFont="1" applyFill="1" applyBorder="1" applyAlignment="1">
      <alignment horizontal="center" vertical="center" wrapText="1"/>
    </xf>
    <xf numFmtId="215" fontId="0" fillId="2" borderId="4" xfId="42" applyNumberFormat="1" applyFont="1" applyFill="1" applyBorder="1" applyAlignment="1">
      <alignment horizontal="center" vertical="center" wrapText="1"/>
    </xf>
    <xf numFmtId="10" fontId="2" fillId="3" borderId="4" xfId="42" applyNumberFormat="1" applyFont="1" applyFill="1" applyBorder="1" applyAlignment="1">
      <alignment horizontal="right" vertical="center"/>
    </xf>
    <xf numFmtId="10" fontId="6" fillId="3" borderId="4" xfId="42" applyNumberFormat="1" applyFont="1" applyFill="1" applyBorder="1" applyAlignment="1">
      <alignment horizontal="center" vertical="center"/>
    </xf>
    <xf numFmtId="10" fontId="6" fillId="3" borderId="4" xfId="42" applyNumberFormat="1" applyFont="1" applyFill="1" applyBorder="1" applyAlignment="1">
      <alignment horizontal="right" vertical="center"/>
    </xf>
    <xf numFmtId="10" fontId="2" fillId="2" borderId="4" xfId="42" applyNumberFormat="1" applyFont="1" applyFill="1" applyBorder="1" applyAlignment="1">
      <alignment horizontal="center" vertical="center"/>
    </xf>
    <xf numFmtId="215" fontId="2" fillId="2" borderId="4" xfId="42" applyNumberFormat="1" applyFont="1" applyFill="1" applyBorder="1" applyAlignment="1">
      <alignment horizontal="center" vertical="center"/>
    </xf>
    <xf numFmtId="193" fontId="6" fillId="3" borderId="4" xfId="42" applyNumberFormat="1" applyFont="1" applyFill="1" applyBorder="1" applyAlignment="1">
      <alignment horizontal="center" vertical="center"/>
    </xf>
    <xf numFmtId="0" fontId="0" fillId="2" borderId="4" xfId="42" applyFont="1" applyFill="1" applyBorder="1"/>
    <xf numFmtId="0" fontId="0" fillId="2" borderId="26" xfId="42" applyFont="1" applyFill="1" applyBorder="1" applyAlignment="1">
      <alignment horizontal="center"/>
    </xf>
    <xf numFmtId="0" fontId="0" fillId="2" borderId="12" xfId="42" applyFont="1" applyFill="1" applyBorder="1" applyAlignment="1">
      <alignment horizontal="center"/>
    </xf>
    <xf numFmtId="0" fontId="1" fillId="2" borderId="0" xfId="42" applyFont="1" applyFill="1"/>
    <xf numFmtId="0" fontId="25" fillId="3" borderId="4" xfId="42" applyFont="1" applyFill="1" applyBorder="1"/>
    <xf numFmtId="0" fontId="25" fillId="3" borderId="0" xfId="42" applyFont="1" applyFill="1"/>
    <xf numFmtId="0" fontId="100" fillId="0" borderId="0" xfId="42" applyFont="1" applyAlignment="1">
      <alignment horizontal="center"/>
    </xf>
    <xf numFmtId="186" fontId="4" fillId="3" borderId="5" xfId="14" applyNumberFormat="1" applyFont="1" applyFill="1" applyBorder="1" applyAlignment="1">
      <alignment horizontal="center"/>
    </xf>
    <xf numFmtId="186" fontId="4" fillId="3" borderId="37" xfId="14" applyNumberFormat="1" applyFont="1" applyFill="1" applyBorder="1" applyAlignment="1">
      <alignment horizontal="center"/>
    </xf>
    <xf numFmtId="0" fontId="0" fillId="0" borderId="37" xfId="42" applyFont="1" applyBorder="1" applyAlignment="1">
      <alignment horizontal="center"/>
    </xf>
    <xf numFmtId="0" fontId="0" fillId="0" borderId="20" xfId="42" applyFont="1" applyBorder="1" applyAlignment="1">
      <alignment horizontal="center"/>
    </xf>
    <xf numFmtId="49" fontId="1" fillId="3" borderId="4" xfId="14" applyNumberFormat="1" applyFont="1" applyFill="1" applyBorder="1" applyAlignment="1">
      <alignment horizontal="center"/>
    </xf>
    <xf numFmtId="186" fontId="65" fillId="4" borderId="4" xfId="14" applyNumberFormat="1" applyFont="1" applyFill="1" applyBorder="1" applyAlignment="1">
      <alignment horizontal="center"/>
    </xf>
    <xf numFmtId="190" fontId="59" fillId="4" borderId="4" xfId="14" applyNumberFormat="1" applyFont="1" applyFill="1" applyBorder="1" applyAlignment="1">
      <alignment horizontal="center" vertical="center"/>
    </xf>
    <xf numFmtId="0" fontId="1" fillId="16" borderId="4" xfId="381" applyFont="1" applyFill="1" applyBorder="1" applyAlignment="1">
      <alignment horizontal="center" vertical="center" wrapText="1"/>
    </xf>
    <xf numFmtId="190" fontId="59" fillId="16" borderId="4" xfId="14" applyNumberFormat="1" applyFont="1" applyFill="1" applyBorder="1" applyAlignment="1">
      <alignment horizontal="center" vertical="center"/>
    </xf>
    <xf numFmtId="190" fontId="59" fillId="2" borderId="4" xfId="14" applyNumberFormat="1" applyFont="1" applyFill="1" applyBorder="1" applyAlignment="1">
      <alignment horizontal="center"/>
    </xf>
    <xf numFmtId="0" fontId="0" fillId="0" borderId="4" xfId="42" applyFont="1" applyBorder="1"/>
    <xf numFmtId="190" fontId="59" fillId="0" borderId="4" xfId="14" applyNumberFormat="1" applyFont="1" applyFill="1" applyBorder="1" applyAlignment="1">
      <alignment horizontal="center" vertical="center"/>
    </xf>
    <xf numFmtId="190" fontId="59" fillId="0" borderId="27" xfId="14" applyNumberFormat="1" applyFont="1" applyFill="1" applyBorder="1" applyAlignment="1">
      <alignment horizontal="center" vertical="center"/>
    </xf>
    <xf numFmtId="9" fontId="59" fillId="4" borderId="4" xfId="14" applyNumberFormat="1" applyFont="1" applyFill="1" applyBorder="1" applyAlignment="1">
      <alignment horizontal="center" vertical="center"/>
    </xf>
    <xf numFmtId="9" fontId="59" fillId="0" borderId="4" xfId="14" applyNumberFormat="1" applyFont="1" applyFill="1" applyBorder="1" applyAlignment="1">
      <alignment horizontal="center" vertical="center"/>
    </xf>
    <xf numFmtId="189" fontId="59" fillId="4" borderId="0" xfId="14" applyNumberFormat="1" applyFont="1" applyFill="1" applyBorder="1" applyAlignment="1">
      <alignment horizontal="center" vertical="center"/>
    </xf>
    <xf numFmtId="207" fontId="2" fillId="28" borderId="4" xfId="0" applyNumberFormat="1" applyFont="1" applyFill="1" applyBorder="1" applyAlignment="1" quotePrefix="1">
      <alignment horizontal="left" vertical="center" wrapText="1"/>
    </xf>
    <xf numFmtId="186" fontId="3" fillId="2" borderId="53" xfId="14" applyNumberFormat="1" applyFont="1" applyFill="1" applyBorder="1" applyAlignment="1" quotePrefix="1">
      <alignment horizontal="center" vertical="center" wrapText="1"/>
    </xf>
    <xf numFmtId="0" fontId="6" fillId="5" borderId="5" xfId="0" applyNumberFormat="1" applyFont="1" applyFill="1" applyBorder="1" applyAlignment="1" quotePrefix="1">
      <alignment horizontal="left" vertical="center" wrapText="1"/>
    </xf>
    <xf numFmtId="190" fontId="6" fillId="5" borderId="4" xfId="0" applyNumberFormat="1" applyFont="1" applyFill="1" applyBorder="1" applyAlignment="1" quotePrefix="1">
      <alignment horizontal="left" vertical="center" wrapText="1"/>
    </xf>
    <xf numFmtId="0" fontId="6" fillId="0" borderId="5" xfId="0" applyNumberFormat="1" applyFont="1" applyFill="1" applyBorder="1" applyAlignment="1" quotePrefix="1">
      <alignment horizontal="left" vertical="center" wrapText="1"/>
    </xf>
    <xf numFmtId="215" fontId="6" fillId="3" borderId="2" xfId="0" applyNumberFormat="1" applyFont="1" applyFill="1" applyBorder="1" applyAlignment="1" quotePrefix="1">
      <alignment horizontal="center" vertical="center" wrapText="1"/>
    </xf>
    <xf numFmtId="207" fontId="6" fillId="3" borderId="2" xfId="0" applyNumberFormat="1" applyFont="1" applyFill="1" applyBorder="1" applyAlignment="1" quotePrefix="1">
      <alignment horizontal="center" vertical="center" wrapText="1"/>
    </xf>
    <xf numFmtId="187" fontId="2" fillId="3" borderId="4" xfId="0" applyNumberFormat="1" applyFont="1" applyFill="1" applyBorder="1" applyAlignment="1" quotePrefix="1">
      <alignment vertical="center" wrapText="1"/>
    </xf>
    <xf numFmtId="187" fontId="38" fillId="17" borderId="0" xfId="0" applyNumberFormat="1" applyFont="1" applyFill="1" applyBorder="1" applyAlignment="1" quotePrefix="1">
      <alignment horizontal="center" vertical="center" wrapText="1"/>
    </xf>
    <xf numFmtId="0" fontId="6" fillId="5" borderId="4" xfId="0" applyNumberFormat="1" applyFont="1" applyFill="1" applyBorder="1" applyAlignment="1" quotePrefix="1">
      <alignment horizontal="left" vertical="center" wrapText="1"/>
    </xf>
    <xf numFmtId="207" fontId="6" fillId="5" borderId="3" xfId="42" applyNumberFormat="1" applyFont="1" applyFill="1" applyBorder="1" applyAlignment="1" quotePrefix="1">
      <alignment horizontal="center" vertical="center" wrapText="1"/>
    </xf>
    <xf numFmtId="207" fontId="2" fillId="2" borderId="5" xfId="46" applyNumberFormat="1" applyFont="1" applyFill="1" applyBorder="1" applyAlignment="1" quotePrefix="1">
      <alignment horizontal="left" vertical="center" wrapText="1"/>
    </xf>
    <xf numFmtId="207" fontId="2" fillId="2" borderId="5" xfId="46" applyNumberFormat="1" applyFont="1" applyFill="1" applyBorder="1" applyAlignment="1" quotePrefix="1">
      <alignment horizontal="right" vertical="center" wrapText="1"/>
    </xf>
    <xf numFmtId="207" fontId="2" fillId="2" borderId="4" xfId="46" applyNumberFormat="1" applyFont="1" applyFill="1" applyBorder="1" applyAlignment="1" quotePrefix="1">
      <alignment horizontal="left" vertical="center" wrapText="1"/>
    </xf>
    <xf numFmtId="207" fontId="2" fillId="2" borderId="4" xfId="46" applyNumberFormat="1" applyFont="1" applyFill="1" applyBorder="1" applyAlignment="1" quotePrefix="1">
      <alignment horizontal="right" vertical="center" wrapText="1"/>
    </xf>
    <xf numFmtId="207" fontId="4" fillId="3" borderId="2" xfId="42" applyNumberFormat="1" applyFont="1" applyFill="1" applyBorder="1" applyAlignment="1" quotePrefix="1">
      <alignment horizontal="center" vertical="center" wrapText="1"/>
    </xf>
    <xf numFmtId="0" fontId="6" fillId="5" borderId="3" xfId="453" applyFont="1" applyFill="1" applyBorder="1" applyAlignment="1" quotePrefix="1">
      <alignment horizontal="center" vertical="center" wrapText="1"/>
    </xf>
  </cellXfs>
  <cellStyles count="460">
    <cellStyle name="常规" xfId="0" builtinId="0"/>
    <cellStyle name="货币[0]" xfId="1" builtinId="7"/>
    <cellStyle name="20% - 强调文字颜色 3" xfId="2" builtinId="38"/>
    <cellStyle name="输入" xfId="3" builtinId="20"/>
    <cellStyle name="常规 2 2 4" xfId="4"/>
    <cellStyle name="_金色家园（中林）目标成本测算表071201" xfId="5"/>
    <cellStyle name="货币" xfId="6" builtinId="4"/>
    <cellStyle name="千位分隔 2 6" xfId="7"/>
    <cellStyle name="千位分隔[0]" xfId="8" builtinId="6"/>
    <cellStyle name="_Currency" xfId="9"/>
    <cellStyle name="计算 2" xfId="10"/>
    <cellStyle name="40% - 强调文字颜色 3" xfId="11" builtinId="39"/>
    <cellStyle name="差" xfId="12" builtinId="27"/>
    <cellStyle name="常规 7 3" xfId="13"/>
    <cellStyle name="千位分隔" xfId="14" builtinId="3"/>
    <cellStyle name="60% - 强调文字颜色 3" xfId="15" builtinId="40"/>
    <cellStyle name="超链接" xfId="16" builtinId="8"/>
    <cellStyle name="_%(SignSpaceOnly)" xfId="17"/>
    <cellStyle name="百分比" xfId="18" builtinId="5"/>
    <cellStyle name="已访问的超链接" xfId="19" builtinId="9"/>
    <cellStyle name="常规 6" xfId="20"/>
    <cellStyle name="注释" xfId="21" builtinId="10"/>
    <cellStyle name="差_晶元南块目标成本测算-规划方案批复20090514-含财务-报批稿" xfId="22"/>
    <cellStyle name="60% - 强调文字颜色 2" xfId="23" builtinId="36"/>
    <cellStyle name="标题 4" xfId="24" builtinId="19"/>
    <cellStyle name="警告文本" xfId="25" builtinId="11"/>
    <cellStyle name="20% - 强调文字颜色 5 2 3" xfId="26"/>
    <cellStyle name="_Highlight" xfId="27"/>
    <cellStyle name="千位分隔 3 2" xfId="28"/>
    <cellStyle name="千位分隔 10" xfId="29"/>
    <cellStyle name="好_新项目速算表-湖心岛0529-指标 2" xfId="30"/>
    <cellStyle name="标题 4 2 2" xfId="31"/>
    <cellStyle name="_ET_STYLE_NoName_00_" xfId="32"/>
    <cellStyle name="强调文字颜色 1 2 3" xfId="33"/>
    <cellStyle name="常规 5 2" xfId="34"/>
    <cellStyle name="60% - 强调文字颜色 2 2 2" xfId="35"/>
    <cellStyle name="标题" xfId="36" builtinId="15"/>
    <cellStyle name="解释性文本" xfId="37" builtinId="53"/>
    <cellStyle name="百分比 4" xfId="38"/>
    <cellStyle name="标题 1" xfId="39" builtinId="16"/>
    <cellStyle name="常规 5 2 2" xfId="40"/>
    <cellStyle name="百分比 5" xfId="41"/>
    <cellStyle name="0,0_x000d__x000a_NA_x000d__x000a_" xfId="42"/>
    <cellStyle name="标题 2" xfId="43" builtinId="17"/>
    <cellStyle name="60% - 强调文字颜色 1" xfId="44" builtinId="32"/>
    <cellStyle name="_Euro" xfId="45"/>
    <cellStyle name="常规_多层单一测算" xfId="46"/>
    <cellStyle name="常规 5 2 3" xfId="47"/>
    <cellStyle name="百分比 6" xfId="48"/>
    <cellStyle name="标题 3" xfId="49" builtinId="18"/>
    <cellStyle name="_SubHeading" xfId="50"/>
    <cellStyle name="常规_黄岐泌冲港测算1110" xfId="51"/>
    <cellStyle name="60% - 强调文字颜色 4" xfId="52" builtinId="44"/>
    <cellStyle name="输出" xfId="53" builtinId="21"/>
    <cellStyle name="千位分隔 3 3" xfId="54"/>
    <cellStyle name="千位分隔 11" xfId="55"/>
    <cellStyle name="千分位[0]_laroux" xfId="56"/>
    <cellStyle name="好_新项目速算表-湖心岛0529-指标 3" xfId="57"/>
    <cellStyle name="标题 4 2 3" xfId="58"/>
    <cellStyle name="_%(SignOnly)" xfId="59"/>
    <cellStyle name="Input" xfId="60"/>
    <cellStyle name="计算" xfId="61" builtinId="22"/>
    <cellStyle name="40% - 强调文字颜色 4 2" xfId="62"/>
    <cellStyle name="检查单元格" xfId="63" builtinId="23"/>
    <cellStyle name="注释 2 3" xfId="64"/>
    <cellStyle name="链接单元格" xfId="65" builtinId="24"/>
    <cellStyle name="_MultipleSpace" xfId="66"/>
    <cellStyle name="常规 8 3" xfId="67"/>
    <cellStyle name="20% - 强调文字颜色 6" xfId="68" builtinId="50"/>
    <cellStyle name="千位分隔 6 3" xfId="69"/>
    <cellStyle name="差_徐虹北路地块规划指标0521" xfId="70"/>
    <cellStyle name="Currency [0]" xfId="71"/>
    <cellStyle name="强调文字颜色 2" xfId="72" builtinId="33"/>
    <cellStyle name="_CurrencySpace" xfId="73"/>
    <cellStyle name="60% - 强调文字颜色 4 2 3" xfId="74"/>
    <cellStyle name="汇总" xfId="75" builtinId="25"/>
    <cellStyle name="好" xfId="76" builtinId="26"/>
    <cellStyle name="_Heading" xfId="77"/>
    <cellStyle name="Heading 3" xfId="78"/>
    <cellStyle name="适中" xfId="79" builtinId="28"/>
    <cellStyle name="常规 8 2" xfId="80"/>
    <cellStyle name="20% - 强调文字颜色 5" xfId="81" builtinId="46"/>
    <cellStyle name="千位分隔 6 2" xfId="82"/>
    <cellStyle name="强调文字颜色 1" xfId="83" builtinId="29"/>
    <cellStyle name="20% - 强调文字颜色 1" xfId="84" builtinId="30"/>
    <cellStyle name="40% - 强调文字颜色 1" xfId="85" builtinId="31"/>
    <cellStyle name="输出 2" xfId="86"/>
    <cellStyle name="20% - 强调文字颜色 2" xfId="87" builtinId="34"/>
    <cellStyle name="Change A&amp;ll" xfId="88"/>
    <cellStyle name="40% - 强调文字颜色 2" xfId="89" builtinId="35"/>
    <cellStyle name="千位分隔[0] 2" xfId="90"/>
    <cellStyle name="千位分隔 6 4" xfId="91"/>
    <cellStyle name="强调文字颜色 3" xfId="92" builtinId="37"/>
    <cellStyle name="强调文字颜色 4" xfId="93" builtinId="41"/>
    <cellStyle name="_浦江镇项目三至五期经济测算090916" xfId="94"/>
    <cellStyle name="20% - 强调文字颜色 4" xfId="95" builtinId="42"/>
    <cellStyle name="_08-10计划（0731）摸底0808调整(09调整）" xfId="96"/>
    <cellStyle name="40% - 强调文字颜色 4" xfId="97" builtinId="43"/>
    <cellStyle name="强调文字颜色 5" xfId="98" builtinId="45"/>
    <cellStyle name="40% - 强调文字颜色 5" xfId="99" builtinId="47"/>
    <cellStyle name="60% - 强调文字颜色 5" xfId="100" builtinId="48"/>
    <cellStyle name="标题 3 2 3" xfId="101"/>
    <cellStyle name="_Multiple" xfId="102"/>
    <cellStyle name="常规_新项目测算新付款模式070910(修改)" xfId="103"/>
    <cellStyle name="强调文字颜色 6" xfId="104" builtinId="49"/>
    <cellStyle name="_x0007_" xfId="105"/>
    <cellStyle name="40% - 强调文字颜色 6" xfId="106" builtinId="51"/>
    <cellStyle name="60% - 强调文字颜色 6" xfId="107" builtinId="52"/>
    <cellStyle name="_■项目成本测算表" xfId="108"/>
    <cellStyle name="_Book1" xfId="109"/>
    <cellStyle name="_Comma" xfId="110"/>
    <cellStyle name="常规 3" xfId="111"/>
    <cellStyle name="20% - 强调文字颜色 4 2" xfId="112"/>
    <cellStyle name="_上海公司信息月报2008年8月" xfId="113"/>
    <cellStyle name="_Table" xfId="114"/>
    <cellStyle name="好_新桥地块规划指标销售计划" xfId="115"/>
    <cellStyle name="_Table_副本金色城市销售计划（09-02-17）-全项目 (2) (2)" xfId="116"/>
    <cellStyle name="_Table_副本金色城市销售计划（09-02-17）-全项目 (2) (2)_魅力五期目标成本经济指标责任表(设计部)-4 1" xfId="117"/>
    <cellStyle name="40% - Accent1" xfId="118"/>
    <cellStyle name="_TableHead" xfId="119"/>
    <cellStyle name="20% - Accent5" xfId="120"/>
    <cellStyle name="_TableHead_副本金色城市销售计划（09-02-17）-全项目 (2) (2)" xfId="121"/>
    <cellStyle name="_TableHead_副本金色城市销售计划（09-02-17）-全项目 (2) (2)_魅力五期目标成本经济指标责任表(设计部)-4 1" xfId="122"/>
    <cellStyle name="_TableRowHead" xfId="123"/>
    <cellStyle name="_TableSuperHead" xfId="124"/>
    <cellStyle name="_TO LIRONGJUAN" xfId="125"/>
    <cellStyle name="千位分隔 2 4" xfId="126"/>
    <cellStyle name="_对标景观详细" xfId="127"/>
    <cellStyle name="常规 2" xfId="128"/>
    <cellStyle name="Title" xfId="129"/>
    <cellStyle name="_付款节奏" xfId="130"/>
    <cellStyle name="_副本pp分工" xfId="131"/>
    <cellStyle name="强调文字颜色 3 2 2" xfId="132"/>
    <cellStyle name="差_松柏淀粉厂地块成本测算090225" xfId="133"/>
    <cellStyle name="_晶元09-10年销售计划" xfId="134"/>
    <cellStyle name="_目标成本测算表" xfId="135"/>
    <cellStyle name="_人防地下车库" xfId="136"/>
    <cellStyle name="_榕江二期成本测算表（081215）" xfId="137"/>
    <cellStyle name="20% - 强调文字颜色 3 2 3" xfId="138"/>
    <cellStyle name="_一线公司运营计划分析表-模板-修正(北区)" xfId="139"/>
    <cellStyle name="样式 6" xfId="140"/>
    <cellStyle name="强调文字颜色 1 2" xfId="141"/>
    <cellStyle name="Explanatory Text" xfId="142"/>
    <cellStyle name="_指标数据对标（深圳公司）" xfId="143"/>
    <cellStyle name="常规_西安华联广场成本测算20080110" xfId="144"/>
    <cellStyle name="差 2" xfId="145"/>
    <cellStyle name="_指标数据对标（深圳公司）-汇" xfId="146"/>
    <cellStyle name="_智能化及社区管网" xfId="147"/>
    <cellStyle name="好_汇报测算201007 (2)" xfId="148"/>
    <cellStyle name="_重固测算表11年3月15日（东块）终稿成本" xfId="149"/>
    <cellStyle name="标题 2 2" xfId="150"/>
    <cellStyle name="百分比 5 2" xfId="151"/>
    <cellStyle name="0,0_x000d__x000a_NA_x000d__x000a_ 2" xfId="152"/>
    <cellStyle name="0,0_x000d__x000a_NA_x000d__x000a__郑桥村项目可研适配" xfId="153"/>
    <cellStyle name="强调文字颜色 2 2 2" xfId="154"/>
    <cellStyle name="20% - Accent1" xfId="155"/>
    <cellStyle name="强调文字颜色 2 2 3" xfId="156"/>
    <cellStyle name="60% - 强调文字颜色 3 2 2" xfId="157"/>
    <cellStyle name="20% - Accent2" xfId="158"/>
    <cellStyle name="60% - 强调文字颜色 3 2 3" xfId="159"/>
    <cellStyle name="20% - Accent3" xfId="160"/>
    <cellStyle name="20% - Accent4" xfId="161"/>
    <cellStyle name="20% - Accent6" xfId="162"/>
    <cellStyle name="千分位_laroux" xfId="163"/>
    <cellStyle name="常规_项目成本测算表200909" xfId="164"/>
    <cellStyle name="20% - 强调文字颜色 1 2" xfId="165"/>
    <cellStyle name="Note" xfId="166"/>
    <cellStyle name="20% - 强调文字颜色 1 2 2" xfId="167"/>
    <cellStyle name="40% - 强调文字颜色 2 2" xfId="168"/>
    <cellStyle name="20% - 强调文字颜色 1 2 3" xfId="169"/>
    <cellStyle name="输出 2 2" xfId="170"/>
    <cellStyle name="差_新项目速算表-湖心岛0529-指标 3" xfId="171"/>
    <cellStyle name="20% - 强调文字颜色 2 2" xfId="172"/>
    <cellStyle name="20% - 强调文字颜色 2 2 2" xfId="173"/>
    <cellStyle name="20% - 强调文字颜色 2 2 3" xfId="174"/>
    <cellStyle name="Heading 2" xfId="175"/>
    <cellStyle name="20% - 强调文字颜色 3 2" xfId="176"/>
    <cellStyle name="20% - 强调文字颜色 3 2 2" xfId="177"/>
    <cellStyle name="常规 3 2" xfId="178"/>
    <cellStyle name="20% - 强调文字颜色 4 2 2" xfId="179"/>
    <cellStyle name="常规 3 3" xfId="180"/>
    <cellStyle name="20% - 强调文字颜色 4 2 3" xfId="181"/>
    <cellStyle name="常规 8 2 2" xfId="182"/>
    <cellStyle name="20% - 强调文字颜色 5 2" xfId="183"/>
    <cellStyle name="常规 8 2 2 2" xfId="184"/>
    <cellStyle name="3232" xfId="185"/>
    <cellStyle name="20% - 强调文字颜色 5 2 2" xfId="186"/>
    <cellStyle name="20% - 强调文字颜色 6 2" xfId="187"/>
    <cellStyle name="20% - 强调文字颜色 6 2 2" xfId="188"/>
    <cellStyle name="常规_新区地块测算1229" xfId="189"/>
    <cellStyle name="20% - 强调文字颜色 6 2 3" xfId="190"/>
    <cellStyle name="40% - Accent2" xfId="191"/>
    <cellStyle name="40% - Accent3" xfId="192"/>
    <cellStyle name="40% - Accent4" xfId="193"/>
    <cellStyle name="警告文本 2" xfId="194"/>
    <cellStyle name="40% - Accent5" xfId="195"/>
    <cellStyle name="40% - Accent6" xfId="196"/>
    <cellStyle name="40% - 强调文字颜色 1 2" xfId="197"/>
    <cellStyle name="40% - 强调文字颜色 1 2 2" xfId="198"/>
    <cellStyle name="40% - 强调文字颜色 1 2 3" xfId="199"/>
    <cellStyle name="40% - 强调文字颜色 2 2 2" xfId="200"/>
    <cellStyle name="千位_laroux" xfId="201"/>
    <cellStyle name="40% - 强调文字颜色 2 2 3" xfId="202"/>
    <cellStyle name="计算 2 2" xfId="203"/>
    <cellStyle name="40% - 强调文字颜色 3 2" xfId="204"/>
    <cellStyle name="40% - 强调文字颜色 3 2 2" xfId="205"/>
    <cellStyle name="40% - 强调文字颜色 3 2 3" xfId="206"/>
    <cellStyle name="千位分隔 5" xfId="207"/>
    <cellStyle name="检查单元格 2" xfId="208"/>
    <cellStyle name="汇总 2 3" xfId="209"/>
    <cellStyle name="Linked Cell" xfId="210"/>
    <cellStyle name="40% - 强调文字颜色 4 2 2" xfId="211"/>
    <cellStyle name="千位分隔 6" xfId="212"/>
    <cellStyle name="40% - 强调文字颜色 4 2 3" xfId="213"/>
    <cellStyle name="好 2 3" xfId="214"/>
    <cellStyle name="40% - 强调文字颜色 5 2" xfId="215"/>
    <cellStyle name="40% - 强调文字颜色 5 2 2" xfId="216"/>
    <cellStyle name="差_当期规划指标 2" xfId="217"/>
    <cellStyle name="40% - 强调文字颜色 5 2 3" xfId="218"/>
    <cellStyle name="40% - 强调文字颜色 6 2" xfId="219"/>
    <cellStyle name="40% - 强调文字颜色 6 2 2" xfId="220"/>
    <cellStyle name="一般_3202013" xfId="221"/>
    <cellStyle name="40% - 强调文字颜色 6 2 3" xfId="222"/>
    <cellStyle name="差_徐虹北路地块规划指标" xfId="223"/>
    <cellStyle name="60% - Accent1" xfId="224"/>
    <cellStyle name="常规 2 2" xfId="225"/>
    <cellStyle name="60% - Accent2" xfId="226"/>
    <cellStyle name="好_新项目速算表-舒文修订版 (5)" xfId="227"/>
    <cellStyle name="常规 2 3" xfId="228"/>
    <cellStyle name="60% - Accent3" xfId="229"/>
    <cellStyle name="常规 2 4" xfId="230"/>
    <cellStyle name="60% - Accent4" xfId="231"/>
    <cellStyle name="强调文字颜色 4 2" xfId="232"/>
    <cellStyle name="常规 2 5" xfId="233"/>
    <cellStyle name="60% - Accent5" xfId="234"/>
    <cellStyle name="60% - Accent6" xfId="235"/>
    <cellStyle name="Heading 4" xfId="236"/>
    <cellStyle name="60% - 强调文字颜色 1 2" xfId="237"/>
    <cellStyle name="60% - 强调文字颜色 1 2 2" xfId="238"/>
    <cellStyle name="好_前期费用汇总" xfId="239"/>
    <cellStyle name="60% - 强调文字颜色 1 2 3" xfId="240"/>
    <cellStyle name="常规 5" xfId="241"/>
    <cellStyle name="60% - 强调文字颜色 2 2" xfId="242"/>
    <cellStyle name="常规 5 3" xfId="243"/>
    <cellStyle name="差_水源九厂项目－可研成本测算表（090411" xfId="244"/>
    <cellStyle name="60% - 强调文字颜色 2 2 3" xfId="245"/>
    <cellStyle name="差_旗忠指标-2012.03.30" xfId="246"/>
    <cellStyle name="60% - 强调文字颜色 3 2" xfId="247"/>
    <cellStyle name="Neutral" xfId="248"/>
    <cellStyle name="60% - 强调文字颜色 4 2" xfId="249"/>
    <cellStyle name="强调文字颜色 3 2 3" xfId="250"/>
    <cellStyle name="60% - 强调文字颜色 4 2 2" xfId="251"/>
    <cellStyle name="60% - 强调文字颜色 5 2" xfId="252"/>
    <cellStyle name="强调文字颜色 4 2 3" xfId="253"/>
    <cellStyle name="60% - 强调文字颜色 5 2 2" xfId="254"/>
    <cellStyle name="60% - 强调文字颜色 5 2 3" xfId="255"/>
    <cellStyle name="60% - 强调文字颜色 6 2" xfId="256"/>
    <cellStyle name="强调文字颜色 5 2 3" xfId="257"/>
    <cellStyle name="60% - 强调文字颜色 6 2 2" xfId="258"/>
    <cellStyle name="常规_金色家园（中林）目标成本测算表071201" xfId="259"/>
    <cellStyle name="60% - 强调文字颜色 6 2 3" xfId="260"/>
    <cellStyle name="Accent1" xfId="261"/>
    <cellStyle name="Accent2" xfId="262"/>
    <cellStyle name="Accent3" xfId="263"/>
    <cellStyle name="Accent4" xfId="264"/>
    <cellStyle name="常规_草庄地块立项报告090804" xfId="265"/>
    <cellStyle name="Accent5" xfId="266"/>
    <cellStyle name="Accent6" xfId="267"/>
    <cellStyle name="好_新项目速算表-舒文修订版 (5) 2" xfId="268"/>
    <cellStyle name="常规 2 3 2" xfId="269"/>
    <cellStyle name="Bad" xfId="270"/>
    <cellStyle name="Calculation" xfId="271"/>
    <cellStyle name="Change A&amp;ll 3" xfId="272"/>
    <cellStyle name="Change A&amp;ll 3 2" xfId="273"/>
    <cellStyle name="Change A&amp;ll 3 3" xfId="274"/>
    <cellStyle name="Check Cell" xfId="275"/>
    <cellStyle name="Comma [0]" xfId="276"/>
    <cellStyle name="Comma [0] 2" xfId="277"/>
    <cellStyle name="Comma_Chart1" xfId="278"/>
    <cellStyle name="Currency_Chart1" xfId="279"/>
    <cellStyle name="好_■项目成本测算表" xfId="280"/>
    <cellStyle name="常规 10" xfId="281"/>
    <cellStyle name="Good" xfId="282"/>
    <cellStyle name="Heading 1" xfId="283"/>
    <cellStyle name="千位分隔 5 4" xfId="284"/>
    <cellStyle name="Normal 2" xfId="285"/>
    <cellStyle name="差_松柏淀粉厂地块成本测算090225 2" xfId="286"/>
    <cellStyle name="Normal_cashflow forecast" xfId="287"/>
    <cellStyle name="Output" xfId="288"/>
    <cellStyle name="样式 1" xfId="289"/>
    <cellStyle name="Percent 2" xfId="290"/>
    <cellStyle name="Total" xfId="291"/>
    <cellStyle name="Warning Text" xfId="292"/>
    <cellStyle name="百分比 2" xfId="293"/>
    <cellStyle name="百分比 2 2" xfId="294"/>
    <cellStyle name="百分比 2 2 2" xfId="295"/>
    <cellStyle name="百分比 2 2 3" xfId="296"/>
    <cellStyle name="百分比 2 3" xfId="297"/>
    <cellStyle name="百分比 3" xfId="298"/>
    <cellStyle name="百分比 3 2" xfId="299"/>
    <cellStyle name="千位分隔_新项目测算模板" xfId="300"/>
    <cellStyle name="百分比 3 3" xfId="301"/>
    <cellStyle name="百分比 3 4" xfId="302"/>
    <cellStyle name="百分比 3 5" xfId="303"/>
    <cellStyle name="标题 1 2" xfId="304"/>
    <cellStyle name="百分比 4 2" xfId="305"/>
    <cellStyle name="差_前期费用汇总" xfId="306"/>
    <cellStyle name="标题 1 2 2" xfId="307"/>
    <cellStyle name="百分比 4 2 2" xfId="308"/>
    <cellStyle name="百分比 4 3" xfId="309"/>
    <cellStyle name="好_人防地下车库" xfId="310"/>
    <cellStyle name="标题 3 2" xfId="311"/>
    <cellStyle name="百分比 6 2" xfId="312"/>
    <cellStyle name="标题 3 2 2" xfId="313"/>
    <cellStyle name="百分比 6 2 2" xfId="314"/>
    <cellStyle name="百分比 6 3" xfId="315"/>
    <cellStyle name="标题 1 2 3" xfId="316"/>
    <cellStyle name="标题 2 2 2" xfId="317"/>
    <cellStyle name="标题 2 2 3" xfId="318"/>
    <cellStyle name="千位分隔 3" xfId="319"/>
    <cellStyle name="好_新项目速算表-湖心岛0529-指标" xfId="320"/>
    <cellStyle name="好_新桥地块规划指标——销售计划" xfId="321"/>
    <cellStyle name="标题 4 2" xfId="322"/>
    <cellStyle name="标题 5" xfId="323"/>
    <cellStyle name="标题 5 2" xfId="324"/>
    <cellStyle name="标题 5 3" xfId="325"/>
    <cellStyle name="差 2 2" xfId="326"/>
    <cellStyle name="差 2 3" xfId="327"/>
    <cellStyle name="差_■项目成本测算表" xfId="328"/>
    <cellStyle name="强调文字颜色 4 2 2" xfId="329"/>
    <cellStyle name="差_草庄地块立项报告090804" xfId="330"/>
    <cellStyle name="差_城花新园A块（标一、二、三、四段）10年1月动态成本" xfId="331"/>
    <cellStyle name="差_当期规划指标" xfId="332"/>
    <cellStyle name="差_汇报测算201007 (2)" xfId="333"/>
    <cellStyle name="差_目标成本测算表科目样表测试版20130906" xfId="334"/>
    <cellStyle name="差_目标成本测算表科目样表测试版20130906 2" xfId="335"/>
    <cellStyle name="差_目标成本测算表科目样表测试版20130906 3" xfId="336"/>
    <cellStyle name="差_浦江商业1号地块目标成本20110227(02月动态）" xfId="337"/>
    <cellStyle name="差_人防地下车库" xfId="338"/>
    <cellStyle name="差_松柏淀粉厂地块成本测算090225 3" xfId="339"/>
    <cellStyle name="差_新桥地块规划指标销售计划" xfId="340"/>
    <cellStyle name="差_新桥地块规划指标——销售计划" xfId="341"/>
    <cellStyle name="后继超级链接_中山南城项目可研经济测算表——财务部分030515" xfId="342"/>
    <cellStyle name="差_新项目速算表-湖心岛0529-指标" xfId="343"/>
    <cellStyle name="差_新项目速算表-湖心岛0529-指标 2" xfId="344"/>
    <cellStyle name="差_新项目速算表-舒文修订版 (5)" xfId="345"/>
    <cellStyle name="差_新项目速算表-舒文修订版 (5) 2" xfId="346"/>
    <cellStyle name="差_新项目速算表-舒文修订版 (5) 3" xfId="347"/>
    <cellStyle name="差_一线公司运营计划分析表-模板-修正(北区)" xfId="348"/>
    <cellStyle name="差_重固测算表11年3月15日（东块）终稿成本" xfId="349"/>
    <cellStyle name="常规 2 2 2" xfId="350"/>
    <cellStyle name="常规 2 2 3" xfId="351"/>
    <cellStyle name="常规 2 2 5" xfId="352"/>
    <cellStyle name="好_新项目速算表-舒文修订版 (5) 3" xfId="353"/>
    <cellStyle name="常规_新项目测算模板" xfId="354"/>
    <cellStyle name="常规 2 3 3" xfId="355"/>
    <cellStyle name="常规 2_目标成本测算表科目样表测试版20130906" xfId="356"/>
    <cellStyle name="常规 3 4" xfId="357"/>
    <cellStyle name="常规 4" xfId="358"/>
    <cellStyle name="常规 4 2" xfId="359"/>
    <cellStyle name="常规 4 4" xfId="360"/>
    <cellStyle name="常规 4 2 2" xfId="361"/>
    <cellStyle name="强调文字颜色 6 2" xfId="362"/>
    <cellStyle name="常规 4 5" xfId="363"/>
    <cellStyle name="常规 4 2 3" xfId="364"/>
    <cellStyle name="常规 4 3" xfId="365"/>
    <cellStyle name="常规 5 4" xfId="366"/>
    <cellStyle name="常规 5 5" xfId="367"/>
    <cellStyle name="常规 7" xfId="368"/>
    <cellStyle name="常规 7 2" xfId="369"/>
    <cellStyle name="强调文字颜色 6 2 2" xfId="370"/>
    <cellStyle name="常规 7 4" xfId="371"/>
    <cellStyle name="常规 8" xfId="372"/>
    <cellStyle name="常规 8 2 3" xfId="373"/>
    <cellStyle name="常规 8 4" xfId="374"/>
    <cellStyle name="常规 9" xfId="375"/>
    <cellStyle name="常规_房地产税种" xfId="376"/>
    <cellStyle name="常规_副本中林项目目标成本-1(070626)" xfId="377"/>
    <cellStyle name="常规_金色骏景一期目标成本测算080518" xfId="378"/>
    <cellStyle name="常规_金域华府一期目标成本测算0213" xfId="379"/>
    <cellStyle name="千位分隔 8" xfId="380"/>
    <cellStyle name="常规_经济测算中高层+高层35000" xfId="381"/>
    <cellStyle name="常规_罗店工程、销售、结算计划(071015)" xfId="382"/>
    <cellStyle name="常规_土地原始成本" xfId="383"/>
    <cellStyle name="常规_新区地块测算0104（12、16、18、32）" xfId="384"/>
    <cellStyle name="超级链接_中山南城项目可研经济测算表——财务部分030515" xfId="385"/>
    <cellStyle name="好 2" xfId="386"/>
    <cellStyle name="好 2 2" xfId="387"/>
    <cellStyle name="好_草庄地块立项报告090804" xfId="388"/>
    <cellStyle name="好_城花新园A块（标一、二、三、四段）10年1月动态成本" xfId="389"/>
    <cellStyle name="好_晶元南块目标成本测算-规划方案批复20090514-含财务-报批稿" xfId="390"/>
    <cellStyle name="好_当期规划指标" xfId="391"/>
    <cellStyle name="强调文字颜色 6 2 3" xfId="392"/>
    <cellStyle name="好_当期规划指标 2" xfId="393"/>
    <cellStyle name="好_目标成本测算表科目样表测试版20130906" xfId="394"/>
    <cellStyle name="好_目标成本测算表科目样表测试版20130906 2" xfId="395"/>
    <cellStyle name="好_目标成本测算表科目样表测试版20130906 3" xfId="396"/>
    <cellStyle name="好_浦江商业1号地块目标成本20110227(02月动态）" xfId="397"/>
    <cellStyle name="好_旗忠指标-2012.03.30" xfId="398"/>
    <cellStyle name="好_水源九厂项目－可研成本测算表（090411" xfId="399"/>
    <cellStyle name="好_松柏淀粉厂地块成本测算090225" xfId="400"/>
    <cellStyle name="好_松柏淀粉厂地块成本测算090225 2" xfId="401"/>
    <cellStyle name="好_松柏淀粉厂地块成本测算090225 3" xfId="402"/>
    <cellStyle name="好_徐虹北路地块规划指标" xfId="403"/>
    <cellStyle name="好_徐虹北路地块规划指标0521" xfId="404"/>
    <cellStyle name="好_一线公司运营计划分析表-模板-修正(北区)" xfId="405"/>
    <cellStyle name="好_重固测算表11年3月15日（东块）终稿成本" xfId="406"/>
    <cellStyle name="汇总 2" xfId="407"/>
    <cellStyle name="千位分隔 4" xfId="408"/>
    <cellStyle name="汇总 2 2" xfId="409"/>
    <cellStyle name="计算 2 3" xfId="410"/>
    <cellStyle name="千位分隔 5 2" xfId="411"/>
    <cellStyle name="检查单元格 2 2" xfId="412"/>
    <cellStyle name="千位分隔 5 3" xfId="413"/>
    <cellStyle name="检查单元格 2 3" xfId="414"/>
    <cellStyle name="警告文本 2 2" xfId="415"/>
    <cellStyle name="警告文本 2 3" xfId="416"/>
    <cellStyle name="链接单元格 2" xfId="417"/>
    <cellStyle name="链接单元格 2 2" xfId="418"/>
    <cellStyle name="链接单元格 2 3" xfId="419"/>
    <cellStyle name="普通_laroux" xfId="420"/>
    <cellStyle name="千位[0]_laroux" xfId="421"/>
    <cellStyle name="千位分隔 2" xfId="422"/>
    <cellStyle name="千位分隔 2 2" xfId="423"/>
    <cellStyle name="千位分隔 2 3" xfId="424"/>
    <cellStyle name="千位分隔 3 4" xfId="425"/>
    <cellStyle name="千位分隔 2 3 2" xfId="426"/>
    <cellStyle name="强调文字颜色 5 2 2" xfId="427"/>
    <cellStyle name="千位分隔 2 3 3" xfId="428"/>
    <cellStyle name="千位分隔 2 5" xfId="429"/>
    <cellStyle name="千位分隔 4 2" xfId="430"/>
    <cellStyle name="千位分隔 4 3" xfId="431"/>
    <cellStyle name="千位分隔 4 4" xfId="432"/>
    <cellStyle name="千位分隔 7" xfId="433"/>
    <cellStyle name="千位分隔 7 2" xfId="434"/>
    <cellStyle name="千位分隔 7 2 2" xfId="435"/>
    <cellStyle name="千位分隔 7 3" xfId="436"/>
    <cellStyle name="千位分隔 7 4" xfId="437"/>
    <cellStyle name="千位分隔 9" xfId="438"/>
    <cellStyle name="强调文字颜色 3 2" xfId="439"/>
    <cellStyle name="千位分隔[0] 2 2" xfId="440"/>
    <cellStyle name="千位分隔[0] 2 3" xfId="441"/>
    <cellStyle name="样式 4" xfId="442"/>
    <cellStyle name="千位分隔[0]_新项目测算模板" xfId="443"/>
    <cellStyle name="强调文字颜色 1 2 2" xfId="444"/>
    <cellStyle name="强调文字颜色 2 2" xfId="445"/>
    <cellStyle name="强调文字颜色 5 2" xfId="446"/>
    <cellStyle name="输出 2 3" xfId="447"/>
    <cellStyle name="输入 2" xfId="448"/>
    <cellStyle name="输入 2 2" xfId="449"/>
    <cellStyle name="输入 2 3" xfId="450"/>
    <cellStyle name="样式 1 2" xfId="451"/>
    <cellStyle name="样式 1 3" xfId="452"/>
    <cellStyle name="样式 2" xfId="453"/>
    <cellStyle name="样式 2 2" xfId="454"/>
    <cellStyle name="样式 3" xfId="455"/>
    <cellStyle name="样式 5" xfId="456"/>
    <cellStyle name="样式 7" xfId="457"/>
    <cellStyle name="注释 2" xfId="458"/>
    <cellStyle name="注释 2 2" xfId="459"/>
  </cellStyles>
  <dxfs count="862">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rgb="FF9C0006"/>
      </font>
      <fill>
        <patternFill patternType="solid">
          <bgColor rgb="FFFFC7CE"/>
        </patternFill>
      </fill>
    </dxf>
    <dxf>
      <font>
        <color theme="0"/>
      </font>
    </dxf>
    <dxf>
      <font>
        <color theme="0"/>
      </font>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rgb="FF9C0006"/>
      </font>
      <fill>
        <patternFill patternType="solid">
          <bgColor rgb="FFFFC7CE"/>
        </patternFill>
      </fill>
    </dxf>
    <dxf>
      <font>
        <color theme="0"/>
      </font>
    </dxf>
    <dxf>
      <font>
        <color theme="0"/>
      </font>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rgb="FF9C0006"/>
      </font>
      <fill>
        <patternFill patternType="solid">
          <bgColor rgb="FFFFC7CE"/>
        </patternFill>
      </fill>
    </dxf>
    <dxf>
      <font>
        <color theme="0"/>
      </font>
    </dxf>
    <dxf>
      <font>
        <color theme="0"/>
      </font>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rgb="FF9C0006"/>
      </font>
      <fill>
        <patternFill patternType="solid">
          <bgColor rgb="FFFFC7CE"/>
        </patternFill>
      </fill>
    </dxf>
    <dxf>
      <font>
        <color theme="0"/>
      </font>
    </dxf>
    <dxf>
      <font>
        <color theme="0"/>
      </font>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rgb="FF9C0006"/>
      </font>
      <fill>
        <patternFill patternType="solid">
          <bgColor rgb="FFFFC7CE"/>
        </patternFill>
      </fill>
    </dxf>
    <dxf>
      <font>
        <color theme="0"/>
      </font>
    </dxf>
    <dxf>
      <font>
        <color theme="0"/>
      </font>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rgb="FF9C0006"/>
      </font>
      <fill>
        <patternFill patternType="solid">
          <bgColor rgb="FFFFC7CE"/>
        </patternFill>
      </fill>
    </dxf>
    <dxf>
      <font>
        <color theme="0"/>
      </font>
    </dxf>
    <dxf>
      <font>
        <color theme="0"/>
      </font>
    </dxf>
    <dxf>
      <font>
        <color theme="0"/>
      </font>
    </dxf>
    <dxf>
      <font>
        <color rgb="FF9C0006"/>
      </font>
      <fill>
        <patternFill patternType="solid">
          <bgColor rgb="FFFFC7CE"/>
        </patternFill>
      </fill>
    </dxf>
    <dxf>
      <font>
        <color theme="0"/>
      </font>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theme="0"/>
      </font>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rgb="FF9C0006"/>
      </font>
      <fill>
        <patternFill patternType="solid">
          <bgColor rgb="FFFFC7CE"/>
        </patternFill>
      </fill>
    </dxf>
    <dxf>
      <font>
        <color theme="0"/>
      </font>
    </dxf>
    <dxf>
      <font>
        <color theme="0"/>
      </font>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rgb="FF9C0006"/>
      </font>
      <fill>
        <patternFill patternType="solid">
          <bgColor rgb="FFFFC7CE"/>
        </patternFill>
      </fill>
    </dxf>
    <dxf>
      <font>
        <color theme="0"/>
      </font>
    </dxf>
    <dxf>
      <font>
        <color theme="0"/>
      </font>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rgb="FF9C0006"/>
      </font>
      <fill>
        <patternFill patternType="solid">
          <bgColor rgb="FFFFC7CE"/>
        </patternFill>
      </fill>
    </dxf>
    <dxf>
      <font>
        <color theme="0"/>
      </font>
    </dxf>
    <dxf>
      <font>
        <color theme="0"/>
      </font>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rgb="FF9C0006"/>
      </font>
      <fill>
        <patternFill patternType="solid">
          <bgColor rgb="FFFFC7CE"/>
        </patternFill>
      </fill>
    </dxf>
    <dxf>
      <font>
        <color theme="0"/>
      </font>
    </dxf>
    <dxf>
      <font>
        <color theme="0"/>
      </font>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theme="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rgb="FF9C0006"/>
      </font>
      <fill>
        <patternFill patternType="solid">
          <bgColor rgb="FFFFC7CE"/>
        </patternFill>
      </fill>
    </dxf>
    <dxf>
      <font>
        <color rgb="FF9C0006"/>
      </font>
      <fill>
        <patternFill patternType="solid">
          <bgColor rgb="FFFFC7CE"/>
        </patternFill>
      </fill>
    </dxf>
    <dxf>
      <font>
        <color theme="0"/>
      </font>
    </dxf>
    <dxf>
      <font>
        <color rgb="FF9C0006"/>
      </font>
      <fill>
        <patternFill patternType="solid">
          <bgColor rgb="FFFFC7CE"/>
        </patternFill>
      </fill>
    </dxf>
    <dxf>
      <font>
        <color rgb="FF9C0006"/>
      </font>
      <fill>
        <patternFill patternType="solid">
          <bgColor rgb="FFFFC7CE"/>
        </patternFill>
      </fill>
    </dxf>
  </dxfs>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99FF99"/>
      <color rgb="00FFFF99"/>
      <color rgb="00FFFFFF"/>
      <color rgb="0099FFCC"/>
    </mru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3" Type="http://schemas.openxmlformats.org/officeDocument/2006/relationships/sharedStrings" Target="sharedStrings.xml"/><Relationship Id="rId62" Type="http://schemas.openxmlformats.org/officeDocument/2006/relationships/styles" Target="styles.xml"/><Relationship Id="rId61" Type="http://schemas.openxmlformats.org/officeDocument/2006/relationships/theme" Target="theme/theme1.xml"/><Relationship Id="rId60" Type="http://schemas.openxmlformats.org/officeDocument/2006/relationships/externalLink" Target="externalLinks/externalLink10.xml"/><Relationship Id="rId6" Type="http://schemas.openxmlformats.org/officeDocument/2006/relationships/worksheet" Target="worksheets/sheet6.xml"/><Relationship Id="rId59" Type="http://schemas.openxmlformats.org/officeDocument/2006/relationships/externalLink" Target="externalLinks/externalLink9.xml"/><Relationship Id="rId58" Type="http://schemas.openxmlformats.org/officeDocument/2006/relationships/externalLink" Target="externalLinks/externalLink8.xml"/><Relationship Id="rId57" Type="http://schemas.openxmlformats.org/officeDocument/2006/relationships/externalLink" Target="externalLinks/externalLink7.xml"/><Relationship Id="rId56" Type="http://schemas.openxmlformats.org/officeDocument/2006/relationships/externalLink" Target="externalLinks/externalLink6.xml"/><Relationship Id="rId55" Type="http://schemas.openxmlformats.org/officeDocument/2006/relationships/externalLink" Target="externalLinks/externalLink5.xml"/><Relationship Id="rId54" Type="http://schemas.openxmlformats.org/officeDocument/2006/relationships/externalLink" Target="externalLinks/externalLink4.xml"/><Relationship Id="rId53" Type="http://schemas.openxmlformats.org/officeDocument/2006/relationships/externalLink" Target="externalLinks/externalLink3.xml"/><Relationship Id="rId52" Type="http://schemas.openxmlformats.org/officeDocument/2006/relationships/externalLink" Target="externalLinks/externalLink2.xml"/><Relationship Id="rId51" Type="http://schemas.openxmlformats.org/officeDocument/2006/relationships/externalLink" Target="externalLinks/externalLink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zh-CN" altLang="en-US">
                <a:latin typeface="华文楷体" panose="02010600040101010101" pitchFamily="2" charset="-122"/>
                <a:ea typeface="华文楷体" panose="02010600040101010101" pitchFamily="2" charset="-122"/>
              </a:rPr>
              <a:t>项目公司及万科累计净现金流（万元）</a:t>
            </a:r>
            <a:endParaRPr lang="zh-CN" altLang="en-US">
              <a:latin typeface="华文楷体" panose="02010600040101010101" pitchFamily="2" charset="-122"/>
              <a:ea typeface="华文楷体" panose="02010600040101010101" pitchFamily="2" charset="-122"/>
            </a:endParaRPr>
          </a:p>
        </c:rich>
      </c:tx>
      <c:layout/>
      <c:overlay val="0"/>
    </c:title>
    <c:autoTitleDeleted val="0"/>
    <c:plotArea>
      <c:layout/>
      <c:lineChart>
        <c:grouping val="standard"/>
        <c:varyColors val="0"/>
        <c:ser>
          <c:idx val="0"/>
          <c:order val="0"/>
          <c:marker>
            <c:symbol val="none"/>
          </c:marker>
          <c:dLbls>
            <c:dLbl>
              <c:idx val="0"/>
              <c:delete val="1"/>
            </c:dLbl>
            <c:dLbl>
              <c:idx val="1"/>
              <c:layout>
                <c:manualLayout>
                  <c:x val="-0.0231226972353222"/>
                  <c:y val="-0.0420463251180773"/>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delete val="1"/>
            </c:dLbl>
            <c:dLbl>
              <c:idx val="3"/>
              <c:delete val="1"/>
            </c:dLbl>
            <c:dLbl>
              <c:idx val="4"/>
              <c:delete val="1"/>
            </c:dLbl>
            <c:dLbl>
              <c:idx val="5"/>
              <c:delete val="1"/>
            </c:dLbl>
            <c:dLbl>
              <c:idx val="6"/>
              <c:delete val="1"/>
            </c:dLbl>
            <c:dLbl>
              <c:idx val="7"/>
              <c:delete val="1"/>
            </c:dLbl>
            <c:dLbl>
              <c:idx val="8"/>
              <c:layout/>
              <c:dLblPos val="r"/>
              <c:showLegendKey val="0"/>
              <c:showVal val="1"/>
              <c:showCatName val="0"/>
              <c:showSerName val="0"/>
              <c:showPercent val="0"/>
              <c:showBubbleSize val="0"/>
              <c:extLst>
                <c:ext xmlns:c15="http://schemas.microsoft.com/office/drawing/2012/chart" uri="{CE6537A1-D6FC-4f65-9D91-7224C49458BB}"/>
              </c:extLst>
            </c:dLbl>
            <c:dLbl>
              <c:idx val="9"/>
              <c:delete val="1"/>
            </c:dLbl>
            <c:dLbl>
              <c:idx val="10"/>
              <c:delete val="1"/>
            </c:dLbl>
            <c:dLbl>
              <c:idx val="11"/>
              <c:delete val="1"/>
            </c:dLbl>
            <c:dLbl>
              <c:idx val="12"/>
              <c:delete val="1"/>
            </c:dLbl>
            <c:dLbl>
              <c:idx val="13"/>
              <c:layout>
                <c:manualLayout>
                  <c:x val="-0.0108812692872105"/>
                  <c:y val="-0.0588648551653083"/>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4"/>
              <c:delete val="1"/>
            </c:dLbl>
            <c:dLbl>
              <c:idx val="15"/>
              <c:delete val="1"/>
            </c:dLbl>
            <c:dLbl>
              <c:idx val="16"/>
              <c:delete val="1"/>
            </c:dLbl>
            <c:dLbl>
              <c:idx val="17"/>
              <c:delete val="1"/>
            </c:dLbl>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r"/>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现金流量!$L$2:$AC$2</c:f>
              <c:strCache>
                <c:ptCount val="18"/>
                <c:pt idx="0" c:formatCode="_-* #,##0_-;\-* #,##0_-;_-* &quot;-&quot;_-;_-@_-">
                  <c:v>17-4Q</c:v>
                </c:pt>
                <c:pt idx="1" c:formatCode="_-* #,##0_-;\-* #,##0_-;_-* &quot;-&quot;_-;_-@_-">
                  <c:v>18-1Q</c:v>
                </c:pt>
                <c:pt idx="2" c:formatCode="_-* #,##0_-;\-* #,##0_-;_-* &quot;-&quot;_-;_-@_-">
                  <c:v>18-2Q</c:v>
                </c:pt>
                <c:pt idx="3" c:formatCode="_-* #,##0_-;\-* #,##0_-;_-* &quot;-&quot;_-;_-@_-">
                  <c:v>18-3Q</c:v>
                </c:pt>
                <c:pt idx="4" c:formatCode="_-* #,##0_-;\-* #,##0_-;_-* &quot;-&quot;_-;_-@_-">
                  <c:v>18-4Q</c:v>
                </c:pt>
                <c:pt idx="5" c:formatCode="_-* #,##0_-;\-* #,##0_-;_-* &quot;-&quot;_-;_-@_-">
                  <c:v>19-1Q</c:v>
                </c:pt>
                <c:pt idx="6" c:formatCode="_-* #,##0_-;\-* #,##0_-;_-* &quot;-&quot;_-;_-@_-">
                  <c:v>19-2Q</c:v>
                </c:pt>
                <c:pt idx="7" c:formatCode="_-* #,##0_-;\-* #,##0_-;_-* &quot;-&quot;_-;_-@_-">
                  <c:v>19-3Q</c:v>
                </c:pt>
                <c:pt idx="8" c:formatCode="_-* #,##0_-;\-* #,##0_-;_-* &quot;-&quot;_-;_-@_-">
                  <c:v>19-4Q</c:v>
                </c:pt>
                <c:pt idx="9" c:formatCode="_-* #,##0_-;\-* #,##0_-;_-* &quot;-&quot;_-;_-@_-">
                  <c:v>20-1Q</c:v>
                </c:pt>
                <c:pt idx="10" c:formatCode="_-* #,##0_-;\-* #,##0_-;_-* &quot;-&quot;_-;_-@_-">
                  <c:v>20-2Q</c:v>
                </c:pt>
                <c:pt idx="11" c:formatCode="_-* #,##0_-;\-* #,##0_-;_-* &quot;-&quot;_-;_-@_-">
                  <c:v>20-3Q</c:v>
                </c:pt>
                <c:pt idx="12" c:formatCode="_-* #,##0_-;\-* #,##0_-;_-* &quot;-&quot;_-;_-@_-">
                  <c:v>20-4Q</c:v>
                </c:pt>
                <c:pt idx="13" c:formatCode="_-* #,##0_-;\-* #,##0_-;_-* &quot;-&quot;_-;_-@_-">
                  <c:v>21-1Q</c:v>
                </c:pt>
                <c:pt idx="14" c:formatCode="_-* #,##0_-;\-* #,##0_-;_-* &quot;-&quot;_-;_-@_-">
                  <c:v>21-2Q</c:v>
                </c:pt>
                <c:pt idx="15" c:formatCode="_-* #,##0_-;\-* #,##0_-;_-* &quot;-&quot;_-;_-@_-">
                  <c:v>21-3Q</c:v>
                </c:pt>
                <c:pt idx="16" c:formatCode="_-* #,##0_-;\-* #,##0_-;_-* &quot;-&quot;_-;_-@_-">
                  <c:v>21-4Q</c:v>
                </c:pt>
                <c:pt idx="17" c:formatCode="_-* #,##0_-;\-* #,##0_-;_-* &quot;-&quot;_-;_-@_-">
                  <c:v>22-1Q</c:v>
                </c:pt>
              </c:strCache>
            </c:strRef>
          </c:cat>
          <c:val>
            <c:numRef>
              <c:f>现金流量!$L$26:$AC$26</c:f>
              <c:numCache>
                <c:formatCode>_ * #,##0_ ;_ * \-#,##0_ ;_ * "-"??_ ;_ @_ </c:formatCode>
                <c:ptCount val="18"/>
                <c:pt idx="0" c:formatCode="_ * #,##0_ ;_ * \-#,##0_ ;_ * &quot;-&quot;??_ ;_ @_ ">
                  <c:v>-45472.5766551814</c:v>
                </c:pt>
                <c:pt idx="1" c:formatCode="_ * #,##0_ ;_ * \-#,##0_ ;_ * &quot;-&quot;??_ ;_ @_ ">
                  <c:v>-47442.2145675057</c:v>
                </c:pt>
                <c:pt idx="2" c:formatCode="_ * #,##0_ ;_ * \-#,##0_ ;_ * &quot;-&quot;??_ ;_ @_ ">
                  <c:v>-50880.2149279406</c:v>
                </c:pt>
                <c:pt idx="3" c:formatCode="_ * #,##0_ ;_ * \-#,##0_ ;_ * &quot;-&quot;??_ ;_ @_ ">
                  <c:v>-56794.4790569208</c:v>
                </c:pt>
                <c:pt idx="4" c:formatCode="_ * #,##0_ ;_ * \-#,##0_ ;_ * &quot;-&quot;??_ ;_ @_ ">
                  <c:v>-42610.6916695205</c:v>
                </c:pt>
                <c:pt idx="5" c:formatCode="_ * #,##0_ ;_ * \-#,##0_ ;_ * &quot;-&quot;??_ ;_ @_ ">
                  <c:v>-26409.8710186809</c:v>
                </c:pt>
                <c:pt idx="6" c:formatCode="_ * #,##0_ ;_ * \-#,##0_ ;_ * &quot;-&quot;??_ ;_ @_ ">
                  <c:v>-14933.7377799405</c:v>
                </c:pt>
                <c:pt idx="7" c:formatCode="_ * #,##0_ ;_ * \-#,##0_ ;_ * &quot;-&quot;??_ ;_ @_ ">
                  <c:v>-3747.35876173854</c:v>
                </c:pt>
                <c:pt idx="8" c:formatCode="_ * #,##0_ ;_ * \-#,##0_ ;_ * &quot;-&quot;??_ ;_ @_ ">
                  <c:v>8726.96210619238</c:v>
                </c:pt>
                <c:pt idx="9" c:formatCode="_ * #,##0_ ;_ * \-#,##0_ ;_ * &quot;-&quot;??_ ;_ @_ ">
                  <c:v>20819.9992927107</c:v>
                </c:pt>
                <c:pt idx="10" c:formatCode="_ * #,##0_ ;_ * \-#,##0_ ;_ * &quot;-&quot;??_ ;_ @_ ">
                  <c:v>36703.677691372</c:v>
                </c:pt>
                <c:pt idx="11" c:formatCode="_ * #,##0_ ;_ * \-#,##0_ ;_ * &quot;-&quot;??_ ;_ @_ ">
                  <c:v>69230.282099951</c:v>
                </c:pt>
                <c:pt idx="12" c:formatCode="_ * #,##0_ ;_ * \-#,##0_ ;_ * &quot;-&quot;??_ ;_ @_ ">
                  <c:v>71741.1054497024</c:v>
                </c:pt>
                <c:pt idx="13" c:formatCode="_ * #,##0_ ;_ * \-#,##0_ ;_ * &quot;-&quot;??_ ;_ @_ ">
                  <c:v>62114.6885819523</c:v>
                </c:pt>
                <c:pt idx="14" c:formatCode="_ * #,##0_ ;_ * \-#,##0_ ;_ * &quot;-&quot;??_ ;_ @_ ">
                  <c:v>53197.3945411637</c:v>
                </c:pt>
                <c:pt idx="15" c:formatCode="_ * #,##0_ ;_ * \-#,##0_ ;_ * &quot;-&quot;??_ ;_ @_ ">
                  <c:v>50107.5933583286</c:v>
                </c:pt>
                <c:pt idx="16" c:formatCode="_ * #,##0_ ;_ * \-#,##0_ ;_ * &quot;-&quot;??_ ;_ @_ ">
                  <c:v>49228.3902125897</c:v>
                </c:pt>
                <c:pt idx="17" c:formatCode="_ * #,##0_ ;_ * \-#,##0_ ;_ * &quot;-&quot;??_ ;_ @_ ">
                  <c:v>40295.7413717281</c:v>
                </c:pt>
              </c:numCache>
            </c:numRef>
          </c:val>
          <c:smooth val="0"/>
        </c:ser>
        <c:dLbls>
          <c:showLegendKey val="0"/>
          <c:showVal val="0"/>
          <c:showCatName val="0"/>
          <c:showSerName val="0"/>
          <c:showPercent val="0"/>
          <c:showBubbleSize val="0"/>
        </c:dLbls>
        <c:marker val="0"/>
        <c:smooth val="0"/>
        <c:axId val="304210688"/>
        <c:axId val="304212224"/>
      </c:lineChart>
      <c:catAx>
        <c:axId val="304210688"/>
        <c:scaling>
          <c:orientation val="minMax"/>
        </c:scaling>
        <c:delete val="0"/>
        <c:axPos val="b"/>
        <c:numFmt formatCode="General"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4212224"/>
        <c:crosses val="autoZero"/>
        <c:auto val="1"/>
        <c:lblAlgn val="ctr"/>
        <c:lblOffset val="100"/>
        <c:noMultiLvlLbl val="0"/>
      </c:catAx>
      <c:valAx>
        <c:axId val="304212224"/>
        <c:scaling>
          <c:orientation val="minMax"/>
        </c:scaling>
        <c:delete val="0"/>
        <c:axPos val="l"/>
        <c:majorGridlines/>
        <c:numFmt formatCode="_ * #,##0_ ;_ * \-#,##0_ ;_ * &quot;-&quot;??_ ;_ @_ " sourceLinked="1"/>
        <c:majorTickMark val="none"/>
        <c:minorTickMark val="none"/>
        <c:tickLblPos val="nextTo"/>
        <c:spPr>
          <a:ln w="9525" cap="flat" cmpd="sng" algn="ctr">
            <a:noFill/>
            <a:prstDash val="solid"/>
            <a:round/>
          </a:ln>
        </c:spPr>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4210688"/>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ctrlProps/ctrlProp1.xml><?xml version="1.0" encoding="utf-8"?>
<formControlPr xmlns="http://schemas.microsoft.com/office/spreadsheetml/2009/9/main" objectType="Scroll" dx="16" horiz="1" inc="500" max="25000" min="15000" page="500" val="25000"/>
</file>

<file path=xl/ctrlProps/ctrlProp2.xml><?xml version="1.0" encoding="utf-8"?>
<formControlPr xmlns="http://schemas.microsoft.com/office/spreadsheetml/2009/9/main" objectType="Scroll" dx="16" horiz="1" inc="1000" max="30000" page="1000" val="0"/>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2</xdr:col>
          <xdr:colOff>114300</xdr:colOff>
          <xdr:row>0</xdr:row>
          <xdr:rowOff>0</xdr:rowOff>
        </xdr:from>
        <xdr:to>
          <xdr:col>4</xdr:col>
          <xdr:colOff>30480</xdr:colOff>
          <xdr:row>0</xdr:row>
          <xdr:rowOff>0</xdr:rowOff>
        </xdr:to>
        <xdr:sp>
          <xdr:nvSpPr>
            <xdr:cNvPr id="301057" name="Scroll Bar 1" hidden="1">
              <a:extLst>
                <a:ext uri="{63B3BB69-23CF-44E3-9099-C40C66FF867C}">
                  <a14:compatExt spid="_x0000_s301057"/>
                </a:ext>
              </a:extLst>
            </xdr:cNvPr>
            <xdr:cNvSpPr/>
          </xdr:nvSpPr>
          <xdr:spPr>
            <a:xfrm>
              <a:off x="1516380" y="0"/>
              <a:ext cx="260604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525780</xdr:colOff>
          <xdr:row>0</xdr:row>
          <xdr:rowOff>0</xdr:rowOff>
        </xdr:from>
        <xdr:to>
          <xdr:col>5</xdr:col>
          <xdr:colOff>0</xdr:colOff>
          <xdr:row>0</xdr:row>
          <xdr:rowOff>0</xdr:rowOff>
        </xdr:to>
        <xdr:sp>
          <xdr:nvSpPr>
            <xdr:cNvPr id="301058" name="Scroll Bar 2" hidden="1">
              <a:extLst>
                <a:ext uri="{63B3BB69-23CF-44E3-9099-C40C66FF867C}">
                  <a14:compatExt spid="_x0000_s301058"/>
                </a:ext>
              </a:extLst>
            </xdr:cNvPr>
            <xdr:cNvSpPr/>
          </xdr:nvSpPr>
          <xdr:spPr>
            <a:xfrm>
              <a:off x="4617720" y="0"/>
              <a:ext cx="510540" cy="0"/>
            </a:xfrm>
            <a:prstGeom prst="rect">
              <a:avLst/>
            </a:prstGeom>
          </xdr:spPr>
        </xdr:sp>
        <xdr:clientData fLocksWithSheet="0"/>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22</xdr:col>
      <xdr:colOff>604837</xdr:colOff>
      <xdr:row>31</xdr:row>
      <xdr:rowOff>66681</xdr:rowOff>
    </xdr:from>
    <xdr:to>
      <xdr:col>33</xdr:col>
      <xdr:colOff>342900</xdr:colOff>
      <xdr:row>51</xdr:row>
      <xdr:rowOff>123825</xdr:rowOff>
    </xdr:to>
    <xdr:graphicFrame>
      <xdr:nvGraphicFramePr>
        <xdr:cNvPr id="2" name="图表 1"/>
        <xdr:cNvGraphicFramePr/>
      </xdr:nvGraphicFramePr>
      <xdr:xfrm>
        <a:off x="14655800" y="4895850"/>
        <a:ext cx="9309100" cy="3105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portal-bjdc:88\Documents%20and%20Settings\zhenghh\Local%20Settings\Temporary%20Internet%20Files\OLKBB\&#38738;&#38738;2006&#24180;&#25104;&#26412;&#39044;&#31639;(&#19979;&#21322;&#2418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wangg07\AppData\Local\Microsoft\Windows\Temporary%20Internet%20Files\Content.Outlook\Y008JPS3\&#20215;&#26684;&#27874;&#21160;&#23545;&#25104;&#26412;&#24433;&#21709;&#27169;&#25311;&#25512;&#28436;&#349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Documents%20and%20Settings\wuxun\Local%20Settings\Temporary%20Internet%20Files\OLKA8\Documents%20and%20Settings\zengzc.VANKE\Local%20Settings\Temporary%20Internet%20Files\OLK134\&#26080;&#38177;&#39749;&#21147;&#20043;&#22478;B3&#26223;&#35266;&#24037;&#31243;&#37327;&#28165;&#2133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wuxun\Local%20Settings\Temporary%20Internet%20Files\OLKA8\Documents%20and%20Settings\zengzc.VANKE\Local%20Settings\Temporary%20Internet%20Files\OLK134\&#26080;&#38177;&#39749;&#21147;&#20043;&#22478;B3&#26223;&#35266;&#24037;&#31243;&#37327;&#28165;&#2133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26032;&#24314;&#25991;&#20214;&#22841;q\Documents%20and%20Settings\chengy\Local%20Settings\Temporary%20Internet%20Files\OLK14\&#35199;&#23665;&#21160;&#24577;&#25104;&#26412;&#20998;&#26512;ol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c-szzb\&#37096;&#38376;2-&#36130;&#21153;.&#36164;&#37329;.&#20225;&#21010;.IT\DOCUME~1\yaoj\LOCALS~1\Temp\107&#24037;&#20316;&#65293;home\&#22478;&#33457;\&#33829;&#38144;&#36153;&#29992;&#21512;&#21516;&#65293;&#20184;&#27454;&#65288;&#22478;&#33457;&#65289;010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5199;&#23433;&#20844;&#21496;\&#21487;&#30740;&#27979;&#31639;&#25991;&#20214;\&#26368;&#21518;&#19968;&#36718;20080413\Documents%20and%20Settings\zhangl8\My%20Documents\Documents%20and%20Settings\wuxun\Local%20Settings\Temporary%20Internet%20Files\OLKA8\Documents%20and%20Settings\zengzc.VANKE\Local%20Settings\Temporary%20Internet%20Fil"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ttp:\\portal-bjdc:88\&#29579;&#36154;&#23431;\&#22235;&#23395;&#33457;&#22478;\&#25104;&#26412;&#21450;&#38754;&#31215;\&#22235;&#23395;&#33457;&#22478;&#19977;&#26399;&#65288;6&#21306;&#65289;&#30446;&#26631;&#25104;&#26412;031031&#65288;&#29579;&#25913;2&#6528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26032;&#24314;&#25991;&#20214;&#22841;q\Documents%20and%20Settings\chengy\Local%20Settings\Temporary%20Internet%20Files\OLK14\&#36131;&#20219;&#25104;&#26412;&#21450;&#20184;&#27454;&#35745;&#21010;&#27169;&#26495;20050114(xmb).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OCUME~1\linyong\LOCALS~1\Temp\&#37329;&#33394;&#23478;&#22253;&#19977;&#26399;&#30446;&#26631;&#25104;&#26412;&#27979;&#31639;&#34920;04020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目录"/>
      <sheetName val="成本预算调整说明"/>
      <sheetName val="一、青青全项目资金计划"/>
      <sheetName val="二、青青四期各部门责任成本及资金计划"/>
      <sheetName val="2.1设计部"/>
      <sheetName val="2.2拓展部"/>
      <sheetName val="2.3财务部"/>
      <sheetName val="2.4成本部"/>
      <sheetName val="2.5工程部"/>
      <sheetName val="2.6采购部"/>
      <sheetName val="2.7项目部"/>
      <sheetName val="2.8责任成本归属标准"/>
      <sheetName val="三.青青全项目结算汇总表"/>
      <sheetName val="3.1青青一期"/>
      <sheetName val="3.2青青二期"/>
      <sheetName val="3.3青青三期"/>
      <sheetName val="3.4青青四期"/>
      <sheetName val="3.5青青跨期"/>
      <sheetName val="四.变更签证计划"/>
      <sheetName val="审批查询1"/>
      <sheetName val="审批查询2"/>
      <sheetName val="Sheet2"/>
      <sheetName val="装饰清单"/>
      <sheetName val="基本参数"/>
      <sheetName val="成本估算"/>
      <sheetName val="设计部"/>
      <sheetName val="规划指标"/>
      <sheetName val="表格设置"/>
      <sheetName val="12.措施项目清单计价表（一）"/>
      <sheetName val="合同明细"/>
      <sheetName val="#REF!"/>
      <sheetName val="e"/>
      <sheetName val="_Recovered_SheetName_ 1_"/>
      <sheetName val="楼梯间"/>
      <sheetName val="9、措施项目清单计价表"/>
    </sheetNames>
    <sheetDataSet>
      <sheetData sheetId="0" refreshError="1"/>
      <sheetData sheetId="1" refreshError="1"/>
      <sheetData sheetId="2" refreshError="1"/>
      <sheetData sheetId="3" refreshError="1"/>
      <sheetData sheetId="4"/>
      <sheetData sheetId="5"/>
      <sheetData sheetId="6"/>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封面"/>
      <sheetName val="二期合约规划表"/>
      <sheetName val="标准合同目录"/>
      <sheetName val="跨期合约规划表"/>
      <sheetName val="成本汇总（二期）"/>
      <sheetName val="全期规划指标"/>
      <sheetName val="一期规划指标"/>
      <sheetName val="二期规划指标"/>
      <sheetName val="后期期规划指标"/>
      <sheetName val="地价分摊表"/>
      <sheetName val="跨期成本分摊明细表"/>
      <sheetName val="二期公摊费用"/>
      <sheetName val="高层住宅（27）"/>
      <sheetName val="高层住宅（18）"/>
      <sheetName val="地下车库"/>
      <sheetName val="合同规划内容及边界"/>
      <sheetName val="采购策划"/>
      <sheetName val="合约规划原则"/>
      <sheetName val="填表指引"/>
      <sheetName val="价格波动对成本影响的模拟推演"/>
    </sheetNames>
    <sheetDataSet>
      <sheetData sheetId="0"/>
      <sheetData sheetId="1"/>
      <sheetData sheetId="2"/>
      <sheetData sheetId="3"/>
      <sheetData sheetId="4"/>
      <sheetData sheetId="5"/>
      <sheetData sheetId="6"/>
      <sheetData sheetId="7"/>
      <sheetData sheetId="8">
        <row r="26">
          <cell r="I26">
            <v>99763.34</v>
          </cell>
        </row>
      </sheetData>
      <sheetData sheetId="9"/>
      <sheetData sheetId="10"/>
      <sheetData sheetId="11"/>
      <sheetData sheetId="12"/>
      <sheetData sheetId="13">
        <row r="11">
          <cell r="D11" t="str">
            <v>传统混凝土</v>
          </cell>
        </row>
        <row r="13">
          <cell r="D13" t="str">
            <v>钢筋</v>
          </cell>
        </row>
        <row r="14">
          <cell r="D14" t="str">
            <v>模板</v>
          </cell>
        </row>
        <row r="16">
          <cell r="D16" t="str">
            <v>传统砌筑</v>
          </cell>
        </row>
        <row r="20">
          <cell r="D20" t="str">
            <v>水泥砂浆楼地面</v>
          </cell>
        </row>
        <row r="21">
          <cell r="D21" t="str">
            <v>室内墙面抹面</v>
          </cell>
        </row>
        <row r="22">
          <cell r="D22" t="str">
            <v>室外墙面抹面</v>
          </cell>
        </row>
      </sheetData>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绿化"/>
      <sheetName val="景观"/>
      <sheetName val="Sheet2"/>
      <sheetName val="Sheet3"/>
      <sheetName val="基本参数"/>
      <sheetName val="成本估算"/>
      <sheetName val="规划指标"/>
      <sheetName val="设计部"/>
      <sheetName val="Cashflow(Scenario)"/>
      <sheetName val="5201.2004"/>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绿化"/>
      <sheetName val="景观"/>
      <sheetName val="Sheet2"/>
      <sheetName val="Sheet3"/>
      <sheetName val="基本参数"/>
      <sheetName val="成本估算"/>
      <sheetName val="规划指标"/>
      <sheetName val="设计部"/>
      <sheetName val="Cashflow(Scenario)"/>
    </sheetNames>
    <sheetDataSet>
      <sheetData sheetId="0"/>
      <sheetData sheetId="1"/>
      <sheetData sheetId="2"/>
      <sheetData sheetId="3"/>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西山责任成本及资金计划汇总"/>
      <sheetName val="工程部"/>
      <sheetName val="财务部"/>
      <sheetName val="设计部"/>
      <sheetName val="拓展部"/>
      <sheetName val="成本部"/>
      <sheetName val="销售中心"/>
      <sheetName val="采购部"/>
      <sheetName val="责任成本归属标准"/>
      <sheetName val="项目部"/>
      <sheetName val="结算及付款计划初稿"/>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4301.2004ch"/>
      <sheetName val="5201.2004"/>
      <sheetName val="城花营销费用"/>
      <sheetName val="预算执行情况 (2)"/>
      <sheetName val="大表2004"/>
      <sheetName val="预算执行情况"/>
      <sheetName val="城花费用明细新"/>
      <sheetName val="城花营销费用预算"/>
      <sheetName val="大表"/>
      <sheetName val="11-12"/>
      <sheetName val="4301"/>
      <sheetName val="比较"/>
      <sheetName val="成本汇总"/>
      <sheetName val="指标"/>
      <sheetName val="139叠加"/>
      <sheetName val="室内装修价格明细"/>
      <sheetName val="全区规划指标"/>
      <sheetName val="全区成本汇总"/>
      <sheetName val="参数表"/>
      <sheetName val="计算表"/>
      <sheetName val="土方"/>
      <sheetName val="Sheet3"/>
      <sheetName val="B"/>
      <sheetName val="#REF!"/>
      <sheetName val="21"/>
      <sheetName val="墙面工程"/>
      <sheetName val="内围地梁钢筋说明"/>
      <sheetName val="建筑面积 "/>
      <sheetName val="名称"/>
      <sheetName val="规划指标"/>
      <sheetName val="单位库"/>
      <sheetName val="成本汇总 "/>
      <sheetName val="设计部"/>
      <sheetName val="4301_2004ch"/>
      <sheetName val="5201_2004"/>
      <sheetName val="预算执行情况_(2)"/>
      <sheetName val="工程量计算书"/>
      <sheetName val="汇总表"/>
      <sheetName val="施工参考单价报价表"/>
      <sheetName val="甲指乙供材料报价表"/>
      <sheetName val="ls"/>
      <sheetName val="全期规划指标 "/>
      <sheetName val="枣园--建安-间接"/>
      <sheetName val="Sheet2"/>
      <sheetName val="土建工程综合单价表"/>
      <sheetName val="综合单价汇总表"/>
      <sheetName val="给排水工程量计算书"/>
      <sheetName val="其它工作项目报价清单"/>
      <sheetName val="Cashflow(Scenario)"/>
      <sheetName val="XLR_NoRangeSheet"/>
      <sheetName val="UFPrn20031203195053"/>
      <sheetName val="Parameters"/>
      <sheetName val="目录"/>
      <sheetName val="Note 1 - Recon Profit"/>
      <sheetName val="Cash Flow Statement"/>
      <sheetName val="基础资料（B）"/>
      <sheetName val="单方成本测算(帐面)"/>
      <sheetName val="成本结转表(IFRS)"/>
      <sheetName val="组团面积"/>
      <sheetName val="套数"/>
      <sheetName val="总指标"/>
      <sheetName val="2004年"/>
      <sheetName val="2006年"/>
      <sheetName val="2005年"/>
      <sheetName val="资本化利息分配表"/>
      <sheetName val="面积指标"/>
      <sheetName val="Aging Datasheet"/>
      <sheetName val="CFS"/>
      <sheetName val="敏感参数"/>
      <sheetName val="指标表"/>
      <sheetName val="车库"/>
      <sheetName val="江宁新指标"/>
      <sheetName val="叠拼"/>
      <sheetName val="复式"/>
      <sheetName val="平层"/>
      <sheetName val="独立商业"/>
      <sheetName val="地下超市"/>
      <sheetName val="Mp-team 1"/>
      <sheetName val="土地款支出"/>
      <sheetName val="规划指标表"/>
      <sheetName val="基础项目"/>
      <sheetName val="梁"/>
      <sheetName val="Global"/>
      <sheetName val="板房区目标成本"/>
      <sheetName val="Sheet1"/>
      <sheetName val="Financial highligts"/>
      <sheetName val="Open"/>
      <sheetName val="写字楼B"/>
      <sheetName val="财务费用"/>
      <sheetName val="收入与成本"/>
      <sheetName val="销售比率"/>
      <sheetName val="土建工程综合单价组价明细表"/>
      <sheetName val="报批报建计划"/>
      <sheetName val="设计指标"/>
      <sheetName val="040506利息分摊"/>
      <sheetName val="2006内部公司往来利息及调整（per entity）"/>
      <sheetName val="07利息分摊"/>
      <sheetName val="list"/>
      <sheetName val="NAME"/>
      <sheetName val="   合同台账  "/>
      <sheetName val="A投资指标"/>
      <sheetName val="Z控制表"/>
      <sheetName val="K流量表过渡"/>
      <sheetName val="O售价敏感分析"/>
      <sheetName val="总表"/>
      <sheetName val="成就共享（全周期）"/>
      <sheetName val="15年御湾"/>
      <sheetName val="收入预测"/>
      <sheetName val="六类"/>
      <sheetName val="总体指标表"/>
      <sheetName val="地下车库"/>
      <sheetName val="时间设置"/>
      <sheetName val="成本测算"/>
      <sheetName val="2、明细表"/>
      <sheetName val="POWER ASSUMPTIONS"/>
      <sheetName val="参数1"/>
      <sheetName val="折线图2数据"/>
      <sheetName val="Main"/>
      <sheetName val="材料"/>
      <sheetName val="工程材料"/>
      <sheetName val="301-6"/>
      <sheetName val="柱"/>
      <sheetName val="承台(砖模) "/>
      <sheetName val="Estimate Detail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绿化"/>
      <sheetName val="景观"/>
      <sheetName val="Sheet2"/>
      <sheetName val="Sheet3"/>
    </sheetNames>
    <sheetDataSet>
      <sheetData sheetId="0" refreshError="1"/>
      <sheetData sheetId="1" refreshError="1"/>
      <sheetData sheetId="2" refreshError="1"/>
      <sheetData sheetId="3"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说明"/>
      <sheetName val="目标责任成本指标"/>
      <sheetName val="基本参数"/>
      <sheetName val="成本估算"/>
      <sheetName val="主体造价"/>
      <sheetName val="报批报建费"/>
      <sheetName val="规划指标"/>
      <sheetName val="Sheet2"/>
      <sheetName val="2.1设计部"/>
      <sheetName val="设计部"/>
      <sheetName val="_Recovered_SheetName_ 1_"/>
      <sheetName val="（室内）装饰工程量"/>
      <sheetName val="5【住宅及配套】模拟清单汇总表（澄清后）"/>
      <sheetName val="6【车库】模拟清单汇总表（澄清后）"/>
      <sheetName val="楼梯间"/>
      <sheetName val="e"/>
      <sheetName val="内部往来抵消"/>
      <sheetName val="5201.2004"/>
      <sheetName val="成本汇总"/>
      <sheetName val="当期规划指标"/>
    </sheetNames>
    <sheetDataSet>
      <sheetData sheetId="0"/>
      <sheetData sheetId="1"/>
      <sheetData sheetId="2"/>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设计部"/>
      <sheetName val="拓展部"/>
      <sheetName val="财务部"/>
      <sheetName val="成本部"/>
      <sheetName val="销售中心"/>
      <sheetName val="工程部"/>
      <sheetName val="采购部"/>
      <sheetName val="项目部"/>
      <sheetName val="客户关系中心"/>
      <sheetName val="责任成本归属标准"/>
      <sheetName val="结算及付款计划初稿"/>
      <sheetName val="基本参数"/>
      <sheetName val="成本估算"/>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木门套"/>
      <sheetName val="防火门"/>
      <sheetName val="目标责任成本指标"/>
      <sheetName val="规划指标"/>
      <sheetName val="明细"/>
      <sheetName val="成本汇总"/>
      <sheetName val="六类公摊费用及期间费"/>
      <sheetName val="高层"/>
      <sheetName val="小高层"/>
      <sheetName val="多层"/>
      <sheetName val="半地下车库"/>
      <sheetName val="商业主体"/>
      <sheetName val="各类产品建筑标准"/>
      <sheetName val="填表指引"/>
      <sheetName val="规划面积附表 "/>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9.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30.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31.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comments" Target="../comments14.xml"/></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comments" Target="../comments15.xml"/></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comments" Target="../comments16.xml"/></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comments" Target="../comments17.xml"/></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comments" Target="../comments18.xml"/></Relationships>
</file>

<file path=xl/worksheets/_rels/sheet40.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comments" Target="../comments19.xml"/></Relationships>
</file>

<file path=xl/worksheets/_rels/sheet41.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comments" Target="../comments20.xml"/></Relationships>
</file>

<file path=xl/worksheets/_rels/sheet42.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comments" Target="../comments21.xml"/></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comments" Target="../comments22.xml"/></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comments" Target="../comments23.xml"/></Relationships>
</file>

<file path=xl/worksheets/_rels/sheet45.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comments" Target="../comments24.xml"/></Relationships>
</file>

<file path=xl/worksheets/_rels/sheet46.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comments" Target="../comments25.xml"/></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comments" Target="../comments26.xml"/></Relationships>
</file>

<file path=xl/worksheets/_rels/sheet48.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comments" Target="../comments27.xml"/></Relationships>
</file>

<file path=xl/worksheets/_rels/sheet49.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comments" Target="../comments28.xml"/></Relationships>
</file>

<file path=xl/worksheets/_rels/sheet50.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comments" Target="../comments29.xml"/></Relationships>
</file>

<file path=xl/worksheets/_rels/sheet6.xml.rels><?xml version="1.0" encoding="UTF-8" standalone="yes"?>
<Relationships xmlns="http://schemas.openxmlformats.org/package/2006/relationships"><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showGridLines="0" showRowColHeaders="0" showZeros="0" showOutlineSymbols="0" topLeftCell="B1" workbookViewId="0">
      <selection activeCell="A1" sqref="A1"/>
    </sheetView>
  </sheetViews>
  <sheetFormatPr defaultColWidth="9" defaultRowHeight="15.75"/>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4" tint="0.399975585192419"/>
  </sheetPr>
  <dimension ref="A1:AR39"/>
  <sheetViews>
    <sheetView workbookViewId="0">
      <pane xSplit="1" ySplit="3" topLeftCell="B19" activePane="bottomRight" state="frozen"/>
      <selection/>
      <selection pane="topRight"/>
      <selection pane="bottomLeft"/>
      <selection pane="bottomRight" activeCell="W31" sqref="W31"/>
    </sheetView>
  </sheetViews>
  <sheetFormatPr defaultColWidth="9" defaultRowHeight="12.75"/>
  <cols>
    <col min="1" max="1" width="18.1" style="1446" customWidth="1"/>
    <col min="2" max="2" width="11.6" style="1513" customWidth="1"/>
    <col min="3" max="3" width="13.1" style="1513" customWidth="1"/>
    <col min="4" max="4" width="12.1" style="1513" customWidth="1"/>
    <col min="5" max="5" width="11.4" style="1513" customWidth="1"/>
    <col min="6" max="6" width="10.4" style="1513" customWidth="1"/>
    <col min="7" max="11" width="9.5" style="1513" customWidth="1"/>
    <col min="12" max="18" width="9.1" style="1513" customWidth="1"/>
    <col min="19" max="20" width="11.4" style="1513" customWidth="1"/>
    <col min="21" max="33" width="12.1" style="1513" customWidth="1"/>
    <col min="34" max="34" width="9.1" style="1513" customWidth="1"/>
    <col min="35" max="35" width="10.1" style="1513" customWidth="1"/>
    <col min="36" max="256" width="9" style="1513"/>
    <col min="257" max="257" width="15.1" style="1513" customWidth="1"/>
    <col min="258" max="259" width="9.5" style="1513" customWidth="1"/>
    <col min="260" max="262" width="9.1" style="1513" customWidth="1"/>
    <col min="263" max="275" width="9" style="1513" hidden="1" customWidth="1"/>
    <col min="276" max="281" width="9.1" style="1513" customWidth="1"/>
    <col min="282" max="282" width="9.5" style="1513" customWidth="1"/>
    <col min="283" max="512" width="9" style="1513"/>
    <col min="513" max="513" width="15.1" style="1513" customWidth="1"/>
    <col min="514" max="515" width="9.5" style="1513" customWidth="1"/>
    <col min="516" max="518" width="9.1" style="1513" customWidth="1"/>
    <col min="519" max="531" width="9" style="1513" hidden="1" customWidth="1"/>
    <col min="532" max="537" width="9.1" style="1513" customWidth="1"/>
    <col min="538" max="538" width="9.5" style="1513" customWidth="1"/>
    <col min="539" max="768" width="9" style="1513"/>
    <col min="769" max="769" width="15.1" style="1513" customWidth="1"/>
    <col min="770" max="771" width="9.5" style="1513" customWidth="1"/>
    <col min="772" max="774" width="9.1" style="1513" customWidth="1"/>
    <col min="775" max="787" width="9" style="1513" hidden="1" customWidth="1"/>
    <col min="788" max="793" width="9.1" style="1513" customWidth="1"/>
    <col min="794" max="794" width="9.5" style="1513" customWidth="1"/>
    <col min="795" max="1024" width="9" style="1513"/>
    <col min="1025" max="1025" width="15.1" style="1513" customWidth="1"/>
    <col min="1026" max="1027" width="9.5" style="1513" customWidth="1"/>
    <col min="1028" max="1030" width="9.1" style="1513" customWidth="1"/>
    <col min="1031" max="1043" width="9" style="1513" hidden="1" customWidth="1"/>
    <col min="1044" max="1049" width="9.1" style="1513" customWidth="1"/>
    <col min="1050" max="1050" width="9.5" style="1513" customWidth="1"/>
    <col min="1051" max="1280" width="9" style="1513"/>
    <col min="1281" max="1281" width="15.1" style="1513" customWidth="1"/>
    <col min="1282" max="1283" width="9.5" style="1513" customWidth="1"/>
    <col min="1284" max="1286" width="9.1" style="1513" customWidth="1"/>
    <col min="1287" max="1299" width="9" style="1513" hidden="1" customWidth="1"/>
    <col min="1300" max="1305" width="9.1" style="1513" customWidth="1"/>
    <col min="1306" max="1306" width="9.5" style="1513" customWidth="1"/>
    <col min="1307" max="1536" width="9" style="1513"/>
    <col min="1537" max="1537" width="15.1" style="1513" customWidth="1"/>
    <col min="1538" max="1539" width="9.5" style="1513" customWidth="1"/>
    <col min="1540" max="1542" width="9.1" style="1513" customWidth="1"/>
    <col min="1543" max="1555" width="9" style="1513" hidden="1" customWidth="1"/>
    <col min="1556" max="1561" width="9.1" style="1513" customWidth="1"/>
    <col min="1562" max="1562" width="9.5" style="1513" customWidth="1"/>
    <col min="1563" max="1792" width="9" style="1513"/>
    <col min="1793" max="1793" width="15.1" style="1513" customWidth="1"/>
    <col min="1794" max="1795" width="9.5" style="1513" customWidth="1"/>
    <col min="1796" max="1798" width="9.1" style="1513" customWidth="1"/>
    <col min="1799" max="1811" width="9" style="1513" hidden="1" customWidth="1"/>
    <col min="1812" max="1817" width="9.1" style="1513" customWidth="1"/>
    <col min="1818" max="1818" width="9.5" style="1513" customWidth="1"/>
    <col min="1819" max="2048" width="9" style="1513"/>
    <col min="2049" max="2049" width="15.1" style="1513" customWidth="1"/>
    <col min="2050" max="2051" width="9.5" style="1513" customWidth="1"/>
    <col min="2052" max="2054" width="9.1" style="1513" customWidth="1"/>
    <col min="2055" max="2067" width="9" style="1513" hidden="1" customWidth="1"/>
    <col min="2068" max="2073" width="9.1" style="1513" customWidth="1"/>
    <col min="2074" max="2074" width="9.5" style="1513" customWidth="1"/>
    <col min="2075" max="2304" width="9" style="1513"/>
    <col min="2305" max="2305" width="15.1" style="1513" customWidth="1"/>
    <col min="2306" max="2307" width="9.5" style="1513" customWidth="1"/>
    <col min="2308" max="2310" width="9.1" style="1513" customWidth="1"/>
    <col min="2311" max="2323" width="9" style="1513" hidden="1" customWidth="1"/>
    <col min="2324" max="2329" width="9.1" style="1513" customWidth="1"/>
    <col min="2330" max="2330" width="9.5" style="1513" customWidth="1"/>
    <col min="2331" max="2560" width="9" style="1513"/>
    <col min="2561" max="2561" width="15.1" style="1513" customWidth="1"/>
    <col min="2562" max="2563" width="9.5" style="1513" customWidth="1"/>
    <col min="2564" max="2566" width="9.1" style="1513" customWidth="1"/>
    <col min="2567" max="2579" width="9" style="1513" hidden="1" customWidth="1"/>
    <col min="2580" max="2585" width="9.1" style="1513" customWidth="1"/>
    <col min="2586" max="2586" width="9.5" style="1513" customWidth="1"/>
    <col min="2587" max="2816" width="9" style="1513"/>
    <col min="2817" max="2817" width="15.1" style="1513" customWidth="1"/>
    <col min="2818" max="2819" width="9.5" style="1513" customWidth="1"/>
    <col min="2820" max="2822" width="9.1" style="1513" customWidth="1"/>
    <col min="2823" max="2835" width="9" style="1513" hidden="1" customWidth="1"/>
    <col min="2836" max="2841" width="9.1" style="1513" customWidth="1"/>
    <col min="2842" max="2842" width="9.5" style="1513" customWidth="1"/>
    <col min="2843" max="3072" width="9" style="1513"/>
    <col min="3073" max="3073" width="15.1" style="1513" customWidth="1"/>
    <col min="3074" max="3075" width="9.5" style="1513" customWidth="1"/>
    <col min="3076" max="3078" width="9.1" style="1513" customWidth="1"/>
    <col min="3079" max="3091" width="9" style="1513" hidden="1" customWidth="1"/>
    <col min="3092" max="3097" width="9.1" style="1513" customWidth="1"/>
    <col min="3098" max="3098" width="9.5" style="1513" customWidth="1"/>
    <col min="3099" max="3328" width="9" style="1513"/>
    <col min="3329" max="3329" width="15.1" style="1513" customWidth="1"/>
    <col min="3330" max="3331" width="9.5" style="1513" customWidth="1"/>
    <col min="3332" max="3334" width="9.1" style="1513" customWidth="1"/>
    <col min="3335" max="3347" width="9" style="1513" hidden="1" customWidth="1"/>
    <col min="3348" max="3353" width="9.1" style="1513" customWidth="1"/>
    <col min="3354" max="3354" width="9.5" style="1513" customWidth="1"/>
    <col min="3355" max="3584" width="9" style="1513"/>
    <col min="3585" max="3585" width="15.1" style="1513" customWidth="1"/>
    <col min="3586" max="3587" width="9.5" style="1513" customWidth="1"/>
    <col min="3588" max="3590" width="9.1" style="1513" customWidth="1"/>
    <col min="3591" max="3603" width="9" style="1513" hidden="1" customWidth="1"/>
    <col min="3604" max="3609" width="9.1" style="1513" customWidth="1"/>
    <col min="3610" max="3610" width="9.5" style="1513" customWidth="1"/>
    <col min="3611" max="3840" width="9" style="1513"/>
    <col min="3841" max="3841" width="15.1" style="1513" customWidth="1"/>
    <col min="3842" max="3843" width="9.5" style="1513" customWidth="1"/>
    <col min="3844" max="3846" width="9.1" style="1513" customWidth="1"/>
    <col min="3847" max="3859" width="9" style="1513" hidden="1" customWidth="1"/>
    <col min="3860" max="3865" width="9.1" style="1513" customWidth="1"/>
    <col min="3866" max="3866" width="9.5" style="1513" customWidth="1"/>
    <col min="3867" max="4096" width="9" style="1513"/>
    <col min="4097" max="4097" width="15.1" style="1513" customWidth="1"/>
    <col min="4098" max="4099" width="9.5" style="1513" customWidth="1"/>
    <col min="4100" max="4102" width="9.1" style="1513" customWidth="1"/>
    <col min="4103" max="4115" width="9" style="1513" hidden="1" customWidth="1"/>
    <col min="4116" max="4121" width="9.1" style="1513" customWidth="1"/>
    <col min="4122" max="4122" width="9.5" style="1513" customWidth="1"/>
    <col min="4123" max="4352" width="9" style="1513"/>
    <col min="4353" max="4353" width="15.1" style="1513" customWidth="1"/>
    <col min="4354" max="4355" width="9.5" style="1513" customWidth="1"/>
    <col min="4356" max="4358" width="9.1" style="1513" customWidth="1"/>
    <col min="4359" max="4371" width="9" style="1513" hidden="1" customWidth="1"/>
    <col min="4372" max="4377" width="9.1" style="1513" customWidth="1"/>
    <col min="4378" max="4378" width="9.5" style="1513" customWidth="1"/>
    <col min="4379" max="4608" width="9" style="1513"/>
    <col min="4609" max="4609" width="15.1" style="1513" customWidth="1"/>
    <col min="4610" max="4611" width="9.5" style="1513" customWidth="1"/>
    <col min="4612" max="4614" width="9.1" style="1513" customWidth="1"/>
    <col min="4615" max="4627" width="9" style="1513" hidden="1" customWidth="1"/>
    <col min="4628" max="4633" width="9.1" style="1513" customWidth="1"/>
    <col min="4634" max="4634" width="9.5" style="1513" customWidth="1"/>
    <col min="4635" max="4864" width="9" style="1513"/>
    <col min="4865" max="4865" width="15.1" style="1513" customWidth="1"/>
    <col min="4866" max="4867" width="9.5" style="1513" customWidth="1"/>
    <col min="4868" max="4870" width="9.1" style="1513" customWidth="1"/>
    <col min="4871" max="4883" width="9" style="1513" hidden="1" customWidth="1"/>
    <col min="4884" max="4889" width="9.1" style="1513" customWidth="1"/>
    <col min="4890" max="4890" width="9.5" style="1513" customWidth="1"/>
    <col min="4891" max="5120" width="9" style="1513"/>
    <col min="5121" max="5121" width="15.1" style="1513" customWidth="1"/>
    <col min="5122" max="5123" width="9.5" style="1513" customWidth="1"/>
    <col min="5124" max="5126" width="9.1" style="1513" customWidth="1"/>
    <col min="5127" max="5139" width="9" style="1513" hidden="1" customWidth="1"/>
    <col min="5140" max="5145" width="9.1" style="1513" customWidth="1"/>
    <col min="5146" max="5146" width="9.5" style="1513" customWidth="1"/>
    <col min="5147" max="5376" width="9" style="1513"/>
    <col min="5377" max="5377" width="15.1" style="1513" customWidth="1"/>
    <col min="5378" max="5379" width="9.5" style="1513" customWidth="1"/>
    <col min="5380" max="5382" width="9.1" style="1513" customWidth="1"/>
    <col min="5383" max="5395" width="9" style="1513" hidden="1" customWidth="1"/>
    <col min="5396" max="5401" width="9.1" style="1513" customWidth="1"/>
    <col min="5402" max="5402" width="9.5" style="1513" customWidth="1"/>
    <col min="5403" max="5632" width="9" style="1513"/>
    <col min="5633" max="5633" width="15.1" style="1513" customWidth="1"/>
    <col min="5634" max="5635" width="9.5" style="1513" customWidth="1"/>
    <col min="5636" max="5638" width="9.1" style="1513" customWidth="1"/>
    <col min="5639" max="5651" width="9" style="1513" hidden="1" customWidth="1"/>
    <col min="5652" max="5657" width="9.1" style="1513" customWidth="1"/>
    <col min="5658" max="5658" width="9.5" style="1513" customWidth="1"/>
    <col min="5659" max="5888" width="9" style="1513"/>
    <col min="5889" max="5889" width="15.1" style="1513" customWidth="1"/>
    <col min="5890" max="5891" width="9.5" style="1513" customWidth="1"/>
    <col min="5892" max="5894" width="9.1" style="1513" customWidth="1"/>
    <col min="5895" max="5907" width="9" style="1513" hidden="1" customWidth="1"/>
    <col min="5908" max="5913" width="9.1" style="1513" customWidth="1"/>
    <col min="5914" max="5914" width="9.5" style="1513" customWidth="1"/>
    <col min="5915" max="6144" width="9" style="1513"/>
    <col min="6145" max="6145" width="15.1" style="1513" customWidth="1"/>
    <col min="6146" max="6147" width="9.5" style="1513" customWidth="1"/>
    <col min="6148" max="6150" width="9.1" style="1513" customWidth="1"/>
    <col min="6151" max="6163" width="9" style="1513" hidden="1" customWidth="1"/>
    <col min="6164" max="6169" width="9.1" style="1513" customWidth="1"/>
    <col min="6170" max="6170" width="9.5" style="1513" customWidth="1"/>
    <col min="6171" max="6400" width="9" style="1513"/>
    <col min="6401" max="6401" width="15.1" style="1513" customWidth="1"/>
    <col min="6402" max="6403" width="9.5" style="1513" customWidth="1"/>
    <col min="6404" max="6406" width="9.1" style="1513" customWidth="1"/>
    <col min="6407" max="6419" width="9" style="1513" hidden="1" customWidth="1"/>
    <col min="6420" max="6425" width="9.1" style="1513" customWidth="1"/>
    <col min="6426" max="6426" width="9.5" style="1513" customWidth="1"/>
    <col min="6427" max="6656" width="9" style="1513"/>
    <col min="6657" max="6657" width="15.1" style="1513" customWidth="1"/>
    <col min="6658" max="6659" width="9.5" style="1513" customWidth="1"/>
    <col min="6660" max="6662" width="9.1" style="1513" customWidth="1"/>
    <col min="6663" max="6675" width="9" style="1513" hidden="1" customWidth="1"/>
    <col min="6676" max="6681" width="9.1" style="1513" customWidth="1"/>
    <col min="6682" max="6682" width="9.5" style="1513" customWidth="1"/>
    <col min="6683" max="6912" width="9" style="1513"/>
    <col min="6913" max="6913" width="15.1" style="1513" customWidth="1"/>
    <col min="6914" max="6915" width="9.5" style="1513" customWidth="1"/>
    <col min="6916" max="6918" width="9.1" style="1513" customWidth="1"/>
    <col min="6919" max="6931" width="9" style="1513" hidden="1" customWidth="1"/>
    <col min="6932" max="6937" width="9.1" style="1513" customWidth="1"/>
    <col min="6938" max="6938" width="9.5" style="1513" customWidth="1"/>
    <col min="6939" max="7168" width="9" style="1513"/>
    <col min="7169" max="7169" width="15.1" style="1513" customWidth="1"/>
    <col min="7170" max="7171" width="9.5" style="1513" customWidth="1"/>
    <col min="7172" max="7174" width="9.1" style="1513" customWidth="1"/>
    <col min="7175" max="7187" width="9" style="1513" hidden="1" customWidth="1"/>
    <col min="7188" max="7193" width="9.1" style="1513" customWidth="1"/>
    <col min="7194" max="7194" width="9.5" style="1513" customWidth="1"/>
    <col min="7195" max="7424" width="9" style="1513"/>
    <col min="7425" max="7425" width="15.1" style="1513" customWidth="1"/>
    <col min="7426" max="7427" width="9.5" style="1513" customWidth="1"/>
    <col min="7428" max="7430" width="9.1" style="1513" customWidth="1"/>
    <col min="7431" max="7443" width="9" style="1513" hidden="1" customWidth="1"/>
    <col min="7444" max="7449" width="9.1" style="1513" customWidth="1"/>
    <col min="7450" max="7450" width="9.5" style="1513" customWidth="1"/>
    <col min="7451" max="7680" width="9" style="1513"/>
    <col min="7681" max="7681" width="15.1" style="1513" customWidth="1"/>
    <col min="7682" max="7683" width="9.5" style="1513" customWidth="1"/>
    <col min="7684" max="7686" width="9.1" style="1513" customWidth="1"/>
    <col min="7687" max="7699" width="9" style="1513" hidden="1" customWidth="1"/>
    <col min="7700" max="7705" width="9.1" style="1513" customWidth="1"/>
    <col min="7706" max="7706" width="9.5" style="1513" customWidth="1"/>
    <col min="7707" max="7936" width="9" style="1513"/>
    <col min="7937" max="7937" width="15.1" style="1513" customWidth="1"/>
    <col min="7938" max="7939" width="9.5" style="1513" customWidth="1"/>
    <col min="7940" max="7942" width="9.1" style="1513" customWidth="1"/>
    <col min="7943" max="7955" width="9" style="1513" hidden="1" customWidth="1"/>
    <col min="7956" max="7961" width="9.1" style="1513" customWidth="1"/>
    <col min="7962" max="7962" width="9.5" style="1513" customWidth="1"/>
    <col min="7963" max="8192" width="9" style="1513"/>
    <col min="8193" max="8193" width="15.1" style="1513" customWidth="1"/>
    <col min="8194" max="8195" width="9.5" style="1513" customWidth="1"/>
    <col min="8196" max="8198" width="9.1" style="1513" customWidth="1"/>
    <col min="8199" max="8211" width="9" style="1513" hidden="1" customWidth="1"/>
    <col min="8212" max="8217" width="9.1" style="1513" customWidth="1"/>
    <col min="8218" max="8218" width="9.5" style="1513" customWidth="1"/>
    <col min="8219" max="8448" width="9" style="1513"/>
    <col min="8449" max="8449" width="15.1" style="1513" customWidth="1"/>
    <col min="8450" max="8451" width="9.5" style="1513" customWidth="1"/>
    <col min="8452" max="8454" width="9.1" style="1513" customWidth="1"/>
    <col min="8455" max="8467" width="9" style="1513" hidden="1" customWidth="1"/>
    <col min="8468" max="8473" width="9.1" style="1513" customWidth="1"/>
    <col min="8474" max="8474" width="9.5" style="1513" customWidth="1"/>
    <col min="8475" max="8704" width="9" style="1513"/>
    <col min="8705" max="8705" width="15.1" style="1513" customWidth="1"/>
    <col min="8706" max="8707" width="9.5" style="1513" customWidth="1"/>
    <col min="8708" max="8710" width="9.1" style="1513" customWidth="1"/>
    <col min="8711" max="8723" width="9" style="1513" hidden="1" customWidth="1"/>
    <col min="8724" max="8729" width="9.1" style="1513" customWidth="1"/>
    <col min="8730" max="8730" width="9.5" style="1513" customWidth="1"/>
    <col min="8731" max="8960" width="9" style="1513"/>
    <col min="8961" max="8961" width="15.1" style="1513" customWidth="1"/>
    <col min="8962" max="8963" width="9.5" style="1513" customWidth="1"/>
    <col min="8964" max="8966" width="9.1" style="1513" customWidth="1"/>
    <col min="8967" max="8979" width="9" style="1513" hidden="1" customWidth="1"/>
    <col min="8980" max="8985" width="9.1" style="1513" customWidth="1"/>
    <col min="8986" max="8986" width="9.5" style="1513" customWidth="1"/>
    <col min="8987" max="9216" width="9" style="1513"/>
    <col min="9217" max="9217" width="15.1" style="1513" customWidth="1"/>
    <col min="9218" max="9219" width="9.5" style="1513" customWidth="1"/>
    <col min="9220" max="9222" width="9.1" style="1513" customWidth="1"/>
    <col min="9223" max="9235" width="9" style="1513" hidden="1" customWidth="1"/>
    <col min="9236" max="9241" width="9.1" style="1513" customWidth="1"/>
    <col min="9242" max="9242" width="9.5" style="1513" customWidth="1"/>
    <col min="9243" max="9472" width="9" style="1513"/>
    <col min="9473" max="9473" width="15.1" style="1513" customWidth="1"/>
    <col min="9474" max="9475" width="9.5" style="1513" customWidth="1"/>
    <col min="9476" max="9478" width="9.1" style="1513" customWidth="1"/>
    <col min="9479" max="9491" width="9" style="1513" hidden="1" customWidth="1"/>
    <col min="9492" max="9497" width="9.1" style="1513" customWidth="1"/>
    <col min="9498" max="9498" width="9.5" style="1513" customWidth="1"/>
    <col min="9499" max="9728" width="9" style="1513"/>
    <col min="9729" max="9729" width="15.1" style="1513" customWidth="1"/>
    <col min="9730" max="9731" width="9.5" style="1513" customWidth="1"/>
    <col min="9732" max="9734" width="9.1" style="1513" customWidth="1"/>
    <col min="9735" max="9747" width="9" style="1513" hidden="1" customWidth="1"/>
    <col min="9748" max="9753" width="9.1" style="1513" customWidth="1"/>
    <col min="9754" max="9754" width="9.5" style="1513" customWidth="1"/>
    <col min="9755" max="9984" width="9" style="1513"/>
    <col min="9985" max="9985" width="15.1" style="1513" customWidth="1"/>
    <col min="9986" max="9987" width="9.5" style="1513" customWidth="1"/>
    <col min="9988" max="9990" width="9.1" style="1513" customWidth="1"/>
    <col min="9991" max="10003" width="9" style="1513" hidden="1" customWidth="1"/>
    <col min="10004" max="10009" width="9.1" style="1513" customWidth="1"/>
    <col min="10010" max="10010" width="9.5" style="1513" customWidth="1"/>
    <col min="10011" max="10240" width="9" style="1513"/>
    <col min="10241" max="10241" width="15.1" style="1513" customWidth="1"/>
    <col min="10242" max="10243" width="9.5" style="1513" customWidth="1"/>
    <col min="10244" max="10246" width="9.1" style="1513" customWidth="1"/>
    <col min="10247" max="10259" width="9" style="1513" hidden="1" customWidth="1"/>
    <col min="10260" max="10265" width="9.1" style="1513" customWidth="1"/>
    <col min="10266" max="10266" width="9.5" style="1513" customWidth="1"/>
    <col min="10267" max="10496" width="9" style="1513"/>
    <col min="10497" max="10497" width="15.1" style="1513" customWidth="1"/>
    <col min="10498" max="10499" width="9.5" style="1513" customWidth="1"/>
    <col min="10500" max="10502" width="9.1" style="1513" customWidth="1"/>
    <col min="10503" max="10515" width="9" style="1513" hidden="1" customWidth="1"/>
    <col min="10516" max="10521" width="9.1" style="1513" customWidth="1"/>
    <col min="10522" max="10522" width="9.5" style="1513" customWidth="1"/>
    <col min="10523" max="10752" width="9" style="1513"/>
    <col min="10753" max="10753" width="15.1" style="1513" customWidth="1"/>
    <col min="10754" max="10755" width="9.5" style="1513" customWidth="1"/>
    <col min="10756" max="10758" width="9.1" style="1513" customWidth="1"/>
    <col min="10759" max="10771" width="9" style="1513" hidden="1" customWidth="1"/>
    <col min="10772" max="10777" width="9.1" style="1513" customWidth="1"/>
    <col min="10778" max="10778" width="9.5" style="1513" customWidth="1"/>
    <col min="10779" max="11008" width="9" style="1513"/>
    <col min="11009" max="11009" width="15.1" style="1513" customWidth="1"/>
    <col min="11010" max="11011" width="9.5" style="1513" customWidth="1"/>
    <col min="11012" max="11014" width="9.1" style="1513" customWidth="1"/>
    <col min="11015" max="11027" width="9" style="1513" hidden="1" customWidth="1"/>
    <col min="11028" max="11033" width="9.1" style="1513" customWidth="1"/>
    <col min="11034" max="11034" width="9.5" style="1513" customWidth="1"/>
    <col min="11035" max="11264" width="9" style="1513"/>
    <col min="11265" max="11265" width="15.1" style="1513" customWidth="1"/>
    <col min="11266" max="11267" width="9.5" style="1513" customWidth="1"/>
    <col min="11268" max="11270" width="9.1" style="1513" customWidth="1"/>
    <col min="11271" max="11283" width="9" style="1513" hidden="1" customWidth="1"/>
    <col min="11284" max="11289" width="9.1" style="1513" customWidth="1"/>
    <col min="11290" max="11290" width="9.5" style="1513" customWidth="1"/>
    <col min="11291" max="11520" width="9" style="1513"/>
    <col min="11521" max="11521" width="15.1" style="1513" customWidth="1"/>
    <col min="11522" max="11523" width="9.5" style="1513" customWidth="1"/>
    <col min="11524" max="11526" width="9.1" style="1513" customWidth="1"/>
    <col min="11527" max="11539" width="9" style="1513" hidden="1" customWidth="1"/>
    <col min="11540" max="11545" width="9.1" style="1513" customWidth="1"/>
    <col min="11546" max="11546" width="9.5" style="1513" customWidth="1"/>
    <col min="11547" max="11776" width="9" style="1513"/>
    <col min="11777" max="11777" width="15.1" style="1513" customWidth="1"/>
    <col min="11778" max="11779" width="9.5" style="1513" customWidth="1"/>
    <col min="11780" max="11782" width="9.1" style="1513" customWidth="1"/>
    <col min="11783" max="11795" width="9" style="1513" hidden="1" customWidth="1"/>
    <col min="11796" max="11801" width="9.1" style="1513" customWidth="1"/>
    <col min="11802" max="11802" width="9.5" style="1513" customWidth="1"/>
    <col min="11803" max="12032" width="9" style="1513"/>
    <col min="12033" max="12033" width="15.1" style="1513" customWidth="1"/>
    <col min="12034" max="12035" width="9.5" style="1513" customWidth="1"/>
    <col min="12036" max="12038" width="9.1" style="1513" customWidth="1"/>
    <col min="12039" max="12051" width="9" style="1513" hidden="1" customWidth="1"/>
    <col min="12052" max="12057" width="9.1" style="1513" customWidth="1"/>
    <col min="12058" max="12058" width="9.5" style="1513" customWidth="1"/>
    <col min="12059" max="12288" width="9" style="1513"/>
    <col min="12289" max="12289" width="15.1" style="1513" customWidth="1"/>
    <col min="12290" max="12291" width="9.5" style="1513" customWidth="1"/>
    <col min="12292" max="12294" width="9.1" style="1513" customWidth="1"/>
    <col min="12295" max="12307" width="9" style="1513" hidden="1" customWidth="1"/>
    <col min="12308" max="12313" width="9.1" style="1513" customWidth="1"/>
    <col min="12314" max="12314" width="9.5" style="1513" customWidth="1"/>
    <col min="12315" max="12544" width="9" style="1513"/>
    <col min="12545" max="12545" width="15.1" style="1513" customWidth="1"/>
    <col min="12546" max="12547" width="9.5" style="1513" customWidth="1"/>
    <col min="12548" max="12550" width="9.1" style="1513" customWidth="1"/>
    <col min="12551" max="12563" width="9" style="1513" hidden="1" customWidth="1"/>
    <col min="12564" max="12569" width="9.1" style="1513" customWidth="1"/>
    <col min="12570" max="12570" width="9.5" style="1513" customWidth="1"/>
    <col min="12571" max="12800" width="9" style="1513"/>
    <col min="12801" max="12801" width="15.1" style="1513" customWidth="1"/>
    <col min="12802" max="12803" width="9.5" style="1513" customWidth="1"/>
    <col min="12804" max="12806" width="9.1" style="1513" customWidth="1"/>
    <col min="12807" max="12819" width="9" style="1513" hidden="1" customWidth="1"/>
    <col min="12820" max="12825" width="9.1" style="1513" customWidth="1"/>
    <col min="12826" max="12826" width="9.5" style="1513" customWidth="1"/>
    <col min="12827" max="13056" width="9" style="1513"/>
    <col min="13057" max="13057" width="15.1" style="1513" customWidth="1"/>
    <col min="13058" max="13059" width="9.5" style="1513" customWidth="1"/>
    <col min="13060" max="13062" width="9.1" style="1513" customWidth="1"/>
    <col min="13063" max="13075" width="9" style="1513" hidden="1" customWidth="1"/>
    <col min="13076" max="13081" width="9.1" style="1513" customWidth="1"/>
    <col min="13082" max="13082" width="9.5" style="1513" customWidth="1"/>
    <col min="13083" max="13312" width="9" style="1513"/>
    <col min="13313" max="13313" width="15.1" style="1513" customWidth="1"/>
    <col min="13314" max="13315" width="9.5" style="1513" customWidth="1"/>
    <col min="13316" max="13318" width="9.1" style="1513" customWidth="1"/>
    <col min="13319" max="13331" width="9" style="1513" hidden="1" customWidth="1"/>
    <col min="13332" max="13337" width="9.1" style="1513" customWidth="1"/>
    <col min="13338" max="13338" width="9.5" style="1513" customWidth="1"/>
    <col min="13339" max="13568" width="9" style="1513"/>
    <col min="13569" max="13569" width="15.1" style="1513" customWidth="1"/>
    <col min="13570" max="13571" width="9.5" style="1513" customWidth="1"/>
    <col min="13572" max="13574" width="9.1" style="1513" customWidth="1"/>
    <col min="13575" max="13587" width="9" style="1513" hidden="1" customWidth="1"/>
    <col min="13588" max="13593" width="9.1" style="1513" customWidth="1"/>
    <col min="13594" max="13594" width="9.5" style="1513" customWidth="1"/>
    <col min="13595" max="13824" width="9" style="1513"/>
    <col min="13825" max="13825" width="15.1" style="1513" customWidth="1"/>
    <col min="13826" max="13827" width="9.5" style="1513" customWidth="1"/>
    <col min="13828" max="13830" width="9.1" style="1513" customWidth="1"/>
    <col min="13831" max="13843" width="9" style="1513" hidden="1" customWidth="1"/>
    <col min="13844" max="13849" width="9.1" style="1513" customWidth="1"/>
    <col min="13850" max="13850" width="9.5" style="1513" customWidth="1"/>
    <col min="13851" max="14080" width="9" style="1513"/>
    <col min="14081" max="14081" width="15.1" style="1513" customWidth="1"/>
    <col min="14082" max="14083" width="9.5" style="1513" customWidth="1"/>
    <col min="14084" max="14086" width="9.1" style="1513" customWidth="1"/>
    <col min="14087" max="14099" width="9" style="1513" hidden="1" customWidth="1"/>
    <col min="14100" max="14105" width="9.1" style="1513" customWidth="1"/>
    <col min="14106" max="14106" width="9.5" style="1513" customWidth="1"/>
    <col min="14107" max="14336" width="9" style="1513"/>
    <col min="14337" max="14337" width="15.1" style="1513" customWidth="1"/>
    <col min="14338" max="14339" width="9.5" style="1513" customWidth="1"/>
    <col min="14340" max="14342" width="9.1" style="1513" customWidth="1"/>
    <col min="14343" max="14355" width="9" style="1513" hidden="1" customWidth="1"/>
    <col min="14356" max="14361" width="9.1" style="1513" customWidth="1"/>
    <col min="14362" max="14362" width="9.5" style="1513" customWidth="1"/>
    <col min="14363" max="14592" width="9" style="1513"/>
    <col min="14593" max="14593" width="15.1" style="1513" customWidth="1"/>
    <col min="14594" max="14595" width="9.5" style="1513" customWidth="1"/>
    <col min="14596" max="14598" width="9.1" style="1513" customWidth="1"/>
    <col min="14599" max="14611" width="9" style="1513" hidden="1" customWidth="1"/>
    <col min="14612" max="14617" width="9.1" style="1513" customWidth="1"/>
    <col min="14618" max="14618" width="9.5" style="1513" customWidth="1"/>
    <col min="14619" max="14848" width="9" style="1513"/>
    <col min="14849" max="14849" width="15.1" style="1513" customWidth="1"/>
    <col min="14850" max="14851" width="9.5" style="1513" customWidth="1"/>
    <col min="14852" max="14854" width="9.1" style="1513" customWidth="1"/>
    <col min="14855" max="14867" width="9" style="1513" hidden="1" customWidth="1"/>
    <col min="14868" max="14873" width="9.1" style="1513" customWidth="1"/>
    <col min="14874" max="14874" width="9.5" style="1513" customWidth="1"/>
    <col min="14875" max="15104" width="9" style="1513"/>
    <col min="15105" max="15105" width="15.1" style="1513" customWidth="1"/>
    <col min="15106" max="15107" width="9.5" style="1513" customWidth="1"/>
    <col min="15108" max="15110" width="9.1" style="1513" customWidth="1"/>
    <col min="15111" max="15123" width="9" style="1513" hidden="1" customWidth="1"/>
    <col min="15124" max="15129" width="9.1" style="1513" customWidth="1"/>
    <col min="15130" max="15130" width="9.5" style="1513" customWidth="1"/>
    <col min="15131" max="15360" width="9" style="1513"/>
    <col min="15361" max="15361" width="15.1" style="1513" customWidth="1"/>
    <col min="15362" max="15363" width="9.5" style="1513" customWidth="1"/>
    <col min="15364" max="15366" width="9.1" style="1513" customWidth="1"/>
    <col min="15367" max="15379" width="9" style="1513" hidden="1" customWidth="1"/>
    <col min="15380" max="15385" width="9.1" style="1513" customWidth="1"/>
    <col min="15386" max="15386" width="9.5" style="1513" customWidth="1"/>
    <col min="15387" max="15616" width="9" style="1513"/>
    <col min="15617" max="15617" width="15.1" style="1513" customWidth="1"/>
    <col min="15618" max="15619" width="9.5" style="1513" customWidth="1"/>
    <col min="15620" max="15622" width="9.1" style="1513" customWidth="1"/>
    <col min="15623" max="15635" width="9" style="1513" hidden="1" customWidth="1"/>
    <col min="15636" max="15641" width="9.1" style="1513" customWidth="1"/>
    <col min="15642" max="15642" width="9.5" style="1513" customWidth="1"/>
    <col min="15643" max="15872" width="9" style="1513"/>
    <col min="15873" max="15873" width="15.1" style="1513" customWidth="1"/>
    <col min="15874" max="15875" width="9.5" style="1513" customWidth="1"/>
    <col min="15876" max="15878" width="9.1" style="1513" customWidth="1"/>
    <col min="15879" max="15891" width="9" style="1513" hidden="1" customWidth="1"/>
    <col min="15892" max="15897" width="9.1" style="1513" customWidth="1"/>
    <col min="15898" max="15898" width="9.5" style="1513" customWidth="1"/>
    <col min="15899" max="16128" width="9" style="1513"/>
    <col min="16129" max="16129" width="15.1" style="1513" customWidth="1"/>
    <col min="16130" max="16131" width="9.5" style="1513" customWidth="1"/>
    <col min="16132" max="16134" width="9.1" style="1513" customWidth="1"/>
    <col min="16135" max="16147" width="9" style="1513" hidden="1" customWidth="1"/>
    <col min="16148" max="16153" width="9.1" style="1513" customWidth="1"/>
    <col min="16154" max="16154" width="9.5" style="1513" customWidth="1"/>
    <col min="16155" max="16384" width="9" style="1513"/>
  </cols>
  <sheetData>
    <row r="1" spans="1:3">
      <c r="A1" s="1514" t="s">
        <v>356</v>
      </c>
      <c r="B1" s="1515"/>
      <c r="C1" s="1515"/>
    </row>
    <row r="2" s="1510" customFormat="1" ht="15.75" customHeight="1" spans="1:44">
      <c r="A2" s="1516"/>
      <c r="B2" s="1517"/>
      <c r="C2" s="1451" t="s">
        <v>290</v>
      </c>
      <c r="D2" s="1451" t="s">
        <v>290</v>
      </c>
      <c r="E2" s="1451" t="s">
        <v>291</v>
      </c>
      <c r="F2" s="1451" t="s">
        <v>291</v>
      </c>
      <c r="G2" s="1451" t="s">
        <v>291</v>
      </c>
      <c r="H2" s="1451" t="s">
        <v>291</v>
      </c>
      <c r="I2" s="1451" t="s">
        <v>292</v>
      </c>
      <c r="J2" s="1451" t="s">
        <v>292</v>
      </c>
      <c r="K2" s="1451" t="s">
        <v>292</v>
      </c>
      <c r="L2" s="1451" t="s">
        <v>292</v>
      </c>
      <c r="M2" s="1451" t="s">
        <v>293</v>
      </c>
      <c r="N2" s="1451" t="s">
        <v>293</v>
      </c>
      <c r="O2" s="1451" t="s">
        <v>293</v>
      </c>
      <c r="P2" s="1451" t="s">
        <v>293</v>
      </c>
      <c r="Q2" s="1451" t="s">
        <v>294</v>
      </c>
      <c r="R2" s="1451" t="s">
        <v>294</v>
      </c>
      <c r="S2" s="1451" t="s">
        <v>294</v>
      </c>
      <c r="T2" s="1451" t="s">
        <v>294</v>
      </c>
      <c r="U2" s="1451" t="s">
        <v>295</v>
      </c>
      <c r="V2" s="1451" t="s">
        <v>295</v>
      </c>
      <c r="W2" s="1451" t="s">
        <v>295</v>
      </c>
      <c r="X2" s="1451" t="s">
        <v>295</v>
      </c>
      <c r="Y2" s="1451" t="s">
        <v>296</v>
      </c>
      <c r="Z2" s="1451" t="s">
        <v>296</v>
      </c>
      <c r="AA2" s="1451" t="s">
        <v>296</v>
      </c>
      <c r="AB2" s="1451" t="s">
        <v>296</v>
      </c>
      <c r="AC2" s="1451" t="s">
        <v>297</v>
      </c>
      <c r="AD2" s="1451" t="s">
        <v>297</v>
      </c>
      <c r="AE2" s="1451" t="s">
        <v>297</v>
      </c>
      <c r="AF2" s="1451" t="s">
        <v>297</v>
      </c>
      <c r="AG2" s="1451" t="s">
        <v>298</v>
      </c>
      <c r="AH2" s="1451" t="s">
        <v>298</v>
      </c>
      <c r="AI2" s="1451" t="s">
        <v>298</v>
      </c>
      <c r="AJ2" s="1451" t="s">
        <v>298</v>
      </c>
      <c r="AK2" s="1451" t="s">
        <v>299</v>
      </c>
      <c r="AL2" s="1451" t="s">
        <v>299</v>
      </c>
      <c r="AM2" s="1451" t="s">
        <v>299</v>
      </c>
      <c r="AN2" s="1451" t="s">
        <v>299</v>
      </c>
      <c r="AO2" s="1451" t="s">
        <v>300</v>
      </c>
      <c r="AP2" s="1451" t="s">
        <v>300</v>
      </c>
      <c r="AQ2" s="1451" t="s">
        <v>300</v>
      </c>
      <c r="AR2" s="1451" t="s">
        <v>300</v>
      </c>
    </row>
    <row r="3" s="1510" customFormat="1" spans="1:44">
      <c r="A3" s="1518" t="s">
        <v>244</v>
      </c>
      <c r="B3" s="1519" t="s">
        <v>2</v>
      </c>
      <c r="C3" s="1454" t="s">
        <v>119</v>
      </c>
      <c r="D3" s="1454" t="s">
        <v>120</v>
      </c>
      <c r="E3" s="1454" t="s">
        <v>121</v>
      </c>
      <c r="F3" s="1454" t="s">
        <v>122</v>
      </c>
      <c r="G3" s="1454" t="s">
        <v>123</v>
      </c>
      <c r="H3" s="1454" t="s">
        <v>124</v>
      </c>
      <c r="I3" s="1454" t="s">
        <v>125</v>
      </c>
      <c r="J3" s="1454" t="s">
        <v>126</v>
      </c>
      <c r="K3" s="1454" t="s">
        <v>127</v>
      </c>
      <c r="L3" s="1454" t="s">
        <v>128</v>
      </c>
      <c r="M3" s="1454" t="s">
        <v>129</v>
      </c>
      <c r="N3" s="1454" t="s">
        <v>130</v>
      </c>
      <c r="O3" s="1454" t="s">
        <v>131</v>
      </c>
      <c r="P3" s="1454" t="s">
        <v>132</v>
      </c>
      <c r="Q3" s="1454" t="s">
        <v>133</v>
      </c>
      <c r="R3" s="1454" t="s">
        <v>134</v>
      </c>
      <c r="S3" s="1454" t="s">
        <v>135</v>
      </c>
      <c r="T3" s="1454" t="s">
        <v>136</v>
      </c>
      <c r="U3" s="1454" t="s">
        <v>137</v>
      </c>
      <c r="V3" s="1454" t="s">
        <v>138</v>
      </c>
      <c r="W3" s="1454" t="s">
        <v>302</v>
      </c>
      <c r="X3" s="1454" t="s">
        <v>303</v>
      </c>
      <c r="Y3" s="1454" t="s">
        <v>271</v>
      </c>
      <c r="Z3" s="1454" t="s">
        <v>264</v>
      </c>
      <c r="AA3" s="1454" t="s">
        <v>304</v>
      </c>
      <c r="AB3" s="1454" t="s">
        <v>305</v>
      </c>
      <c r="AC3" s="1454" t="s">
        <v>306</v>
      </c>
      <c r="AD3" s="1454" t="s">
        <v>307</v>
      </c>
      <c r="AE3" s="1454" t="s">
        <v>308</v>
      </c>
      <c r="AF3" s="1454" t="s">
        <v>309</v>
      </c>
      <c r="AG3" s="1454" t="s">
        <v>310</v>
      </c>
      <c r="AH3" s="1454" t="s">
        <v>311</v>
      </c>
      <c r="AI3" s="1454" t="s">
        <v>312</v>
      </c>
      <c r="AJ3" s="1454" t="s">
        <v>313</v>
      </c>
      <c r="AK3" s="1454" t="s">
        <v>314</v>
      </c>
      <c r="AL3" s="1454" t="s">
        <v>315</v>
      </c>
      <c r="AM3" s="1454" t="s">
        <v>316</v>
      </c>
      <c r="AN3" s="1454" t="s">
        <v>317</v>
      </c>
      <c r="AO3" s="1454" t="s">
        <v>318</v>
      </c>
      <c r="AP3" s="1454" t="s">
        <v>319</v>
      </c>
      <c r="AQ3" s="1454" t="s">
        <v>320</v>
      </c>
      <c r="AR3" s="1454" t="s">
        <v>321</v>
      </c>
    </row>
    <row r="4" s="1511" customFormat="1" spans="1:44">
      <c r="A4" s="1520" t="s">
        <v>357</v>
      </c>
      <c r="B4" s="1500">
        <f>SUM(C4:AR4)</f>
        <v>256644.546494486</v>
      </c>
      <c r="C4" s="1500">
        <f>现金流量!C4</f>
        <v>0</v>
      </c>
      <c r="D4" s="1500">
        <f>现金流量!D4</f>
        <v>0</v>
      </c>
      <c r="E4" s="1500">
        <f>现金流量!E4</f>
        <v>0</v>
      </c>
      <c r="F4" s="1500">
        <f>现金流量!F4</f>
        <v>0</v>
      </c>
      <c r="G4" s="1500">
        <f>现金流量!G4</f>
        <v>0</v>
      </c>
      <c r="H4" s="1500">
        <f>现金流量!H4</f>
        <v>0</v>
      </c>
      <c r="I4" s="1500">
        <f>现金流量!I4</f>
        <v>0</v>
      </c>
      <c r="J4" s="1500">
        <f>现金流量!J4</f>
        <v>0</v>
      </c>
      <c r="K4" s="1500">
        <f>现金流量!K4</f>
        <v>0</v>
      </c>
      <c r="L4" s="1500">
        <f>现金流量!L4</f>
        <v>0</v>
      </c>
      <c r="M4" s="1500">
        <f>现金流量!M4</f>
        <v>0</v>
      </c>
      <c r="N4" s="1500">
        <f>现金流量!N4</f>
        <v>0</v>
      </c>
      <c r="O4" s="1500">
        <f>现金流量!O4</f>
        <v>0</v>
      </c>
      <c r="P4" s="1500">
        <f>现金流量!P4</f>
        <v>23481.6546494486</v>
      </c>
      <c r="Q4" s="1500">
        <f>现金流量!Q4</f>
        <v>29352.0683118108</v>
      </c>
      <c r="R4" s="1500">
        <f>现金流量!R4</f>
        <v>29352.0683118108</v>
      </c>
      <c r="S4" s="1500">
        <f>现金流量!S4</f>
        <v>29352.0683118108</v>
      </c>
      <c r="T4" s="1500">
        <f>现金流量!T4</f>
        <v>29352.0683118108</v>
      </c>
      <c r="U4" s="1500">
        <f>现金流量!U4</f>
        <v>29352.0683118108</v>
      </c>
      <c r="V4" s="1500">
        <f>现金流量!V4</f>
        <v>29352.0683118108</v>
      </c>
      <c r="W4" s="1500">
        <f>现金流量!W4</f>
        <v>46814.4683118108</v>
      </c>
      <c r="X4" s="1500">
        <f>现金流量!X4</f>
        <v>10236.0136623622</v>
      </c>
      <c r="Y4" s="1500">
        <f>现金流量!Y4</f>
        <v>0</v>
      </c>
      <c r="Z4" s="1500">
        <f>现金流量!Z4</f>
        <v>0</v>
      </c>
      <c r="AA4" s="1500">
        <f>现金流量!AA4</f>
        <v>0</v>
      </c>
      <c r="AB4" s="1500">
        <f>现金流量!AB4</f>
        <v>0</v>
      </c>
      <c r="AC4" s="1500">
        <f>现金流量!AC4</f>
        <v>0</v>
      </c>
      <c r="AD4" s="1500">
        <f>现金流量!AD4</f>
        <v>0</v>
      </c>
      <c r="AE4" s="1500">
        <f>现金流量!AE4</f>
        <v>0</v>
      </c>
      <c r="AF4" s="1500">
        <f>现金流量!AF4</f>
        <v>0</v>
      </c>
      <c r="AG4" s="1500">
        <f>现金流量!AG4</f>
        <v>0</v>
      </c>
      <c r="AH4" s="1500">
        <f>现金流量!AH4</f>
        <v>0</v>
      </c>
      <c r="AI4" s="1500">
        <f>现金流量!AI4</f>
        <v>0</v>
      </c>
      <c r="AJ4" s="1500">
        <f>现金流量!AJ4</f>
        <v>0</v>
      </c>
      <c r="AK4" s="1500">
        <f>现金流量!AK4</f>
        <v>0</v>
      </c>
      <c r="AL4" s="1500">
        <f>现金流量!AL4</f>
        <v>0</v>
      </c>
      <c r="AM4" s="1500">
        <f>现金流量!AM4</f>
        <v>0</v>
      </c>
      <c r="AN4" s="1500">
        <f>现金流量!AN4</f>
        <v>0</v>
      </c>
      <c r="AO4" s="1500">
        <f>现金流量!AO4</f>
        <v>0</v>
      </c>
      <c r="AP4" s="1500">
        <f>现金流量!AP4</f>
        <v>0</v>
      </c>
      <c r="AQ4" s="1500">
        <f>现金流量!AQ4</f>
        <v>0</v>
      </c>
      <c r="AR4" s="1500">
        <f>现金流量!AR4</f>
        <v>0</v>
      </c>
    </row>
    <row r="5" s="1511" customFormat="1" spans="1:44">
      <c r="A5" s="1520" t="s">
        <v>358</v>
      </c>
      <c r="B5" s="1500">
        <f t="shared" ref="B5:B11" si="0">SUM(C5:AR5)</f>
        <v>216348.805122758</v>
      </c>
      <c r="C5" s="1500">
        <f>现金流量!C5</f>
        <v>0</v>
      </c>
      <c r="D5" s="1500">
        <f>现金流量!D5</f>
        <v>0</v>
      </c>
      <c r="E5" s="1500">
        <f>现金流量!E5</f>
        <v>0</v>
      </c>
      <c r="F5" s="1500">
        <f>现金流量!F5</f>
        <v>0</v>
      </c>
      <c r="G5" s="1500">
        <f>现金流量!G5</f>
        <v>0</v>
      </c>
      <c r="H5" s="1500">
        <f>现金流量!H5</f>
        <v>0</v>
      </c>
      <c r="I5" s="1500">
        <f>现金流量!I5</f>
        <v>0</v>
      </c>
      <c r="J5" s="1500">
        <f>现金流量!J5</f>
        <v>0</v>
      </c>
      <c r="K5" s="1500">
        <f>现金流量!K5</f>
        <v>0</v>
      </c>
      <c r="L5" s="1500">
        <f>现金流量!L5</f>
        <v>45472.5766551814</v>
      </c>
      <c r="M5" s="1500">
        <f>现金流量!M5</f>
        <v>1969.63791232428</v>
      </c>
      <c r="N5" s="1500">
        <f>现金流量!N5</f>
        <v>3438.00036043485</v>
      </c>
      <c r="O5" s="1500">
        <f>现金流量!O5</f>
        <v>5914.26412898026</v>
      </c>
      <c r="P5" s="1500">
        <f>现金流量!P5</f>
        <v>9297.86726204831</v>
      </c>
      <c r="Q5" s="1500">
        <f>现金流量!Q5</f>
        <v>13151.2476609711</v>
      </c>
      <c r="R5" s="1500">
        <f>现金流量!R5</f>
        <v>17875.9350730704</v>
      </c>
      <c r="S5" s="1500">
        <f>现金流量!S5</f>
        <v>18165.6892936088</v>
      </c>
      <c r="T5" s="1500">
        <f>现金流量!T5</f>
        <v>16877.7474438799</v>
      </c>
      <c r="U5" s="1500">
        <f>现金流量!U5</f>
        <v>17259.0311252925</v>
      </c>
      <c r="V5" s="1500">
        <f>现金流量!V5</f>
        <v>13468.3899131494</v>
      </c>
      <c r="W5" s="1500">
        <f>现金流量!W5</f>
        <v>14287.8639032318</v>
      </c>
      <c r="X5" s="1500">
        <f>现金流量!X5</f>
        <v>7725.1903126107</v>
      </c>
      <c r="Y5" s="1500">
        <f>现金流量!Y5</f>
        <v>9626.41686775013</v>
      </c>
      <c r="Z5" s="1500">
        <f>现金流量!Z5</f>
        <v>8917.29404078862</v>
      </c>
      <c r="AA5" s="1500">
        <f>现金流量!AA5</f>
        <v>3089.80118283504</v>
      </c>
      <c r="AB5" s="1500">
        <f>现金流量!AB5</f>
        <v>879.203145738899</v>
      </c>
      <c r="AC5" s="1500">
        <f>现金流量!AC5</f>
        <v>8932.64884086166</v>
      </c>
      <c r="AD5" s="1500">
        <f>现金流量!AD5</f>
        <v>0</v>
      </c>
      <c r="AE5" s="1500">
        <f>现金流量!AE5</f>
        <v>0</v>
      </c>
      <c r="AF5" s="1500">
        <f>现金流量!AF5</f>
        <v>0</v>
      </c>
      <c r="AG5" s="1500">
        <f>现金流量!AG5</f>
        <v>0</v>
      </c>
      <c r="AH5" s="1500">
        <f>现金流量!AH5</f>
        <v>0</v>
      </c>
      <c r="AI5" s="1500">
        <f>现金流量!AI5</f>
        <v>0</v>
      </c>
      <c r="AJ5" s="1500">
        <f>现金流量!AJ5</f>
        <v>0</v>
      </c>
      <c r="AK5" s="1500">
        <f>现金流量!AK5</f>
        <v>0</v>
      </c>
      <c r="AL5" s="1500">
        <f>现金流量!AL5</f>
        <v>0</v>
      </c>
      <c r="AM5" s="1500">
        <f>现金流量!AM5</f>
        <v>0</v>
      </c>
      <c r="AN5" s="1500">
        <f>现金流量!AN5</f>
        <v>0</v>
      </c>
      <c r="AO5" s="1500">
        <f>现金流量!AO5</f>
        <v>0</v>
      </c>
      <c r="AP5" s="1500">
        <f>现金流量!AP5</f>
        <v>0</v>
      </c>
      <c r="AQ5" s="1500">
        <f>现金流量!AQ5</f>
        <v>0</v>
      </c>
      <c r="AR5" s="1500">
        <f>现金流量!AR5</f>
        <v>0</v>
      </c>
    </row>
    <row r="6" s="1512" customFormat="1" spans="1:44">
      <c r="A6" s="1424" t="s">
        <v>359</v>
      </c>
      <c r="B6" s="1442"/>
      <c r="C6" s="1442"/>
      <c r="D6" s="1442"/>
      <c r="E6" s="1442"/>
      <c r="F6" s="1442"/>
      <c r="G6" s="1442"/>
      <c r="H6" s="1442"/>
      <c r="I6" s="1442"/>
      <c r="J6" s="1442"/>
      <c r="K6" s="1442"/>
      <c r="L6" s="1442"/>
      <c r="M6" s="1442"/>
      <c r="N6" s="1442"/>
      <c r="O6" s="1442"/>
      <c r="P6" s="1442"/>
      <c r="Q6" s="1442"/>
      <c r="R6" s="1442"/>
      <c r="S6" s="1442"/>
      <c r="T6" s="1442"/>
      <c r="U6" s="1442"/>
      <c r="V6" s="1442"/>
      <c r="W6" s="1442"/>
      <c r="X6" s="1442"/>
      <c r="Y6" s="1442"/>
      <c r="Z6" s="1442"/>
      <c r="AA6" s="1442"/>
      <c r="AB6" s="1442"/>
      <c r="AC6" s="1442"/>
      <c r="AD6" s="1442"/>
      <c r="AE6" s="1442"/>
      <c r="AF6" s="1442"/>
      <c r="AG6" s="1442"/>
      <c r="AH6" s="1442"/>
      <c r="AI6" s="1442"/>
      <c r="AJ6" s="1442"/>
      <c r="AK6" s="1442"/>
      <c r="AL6" s="1442"/>
      <c r="AM6" s="1442"/>
      <c r="AN6" s="1442"/>
      <c r="AO6" s="1442"/>
      <c r="AP6" s="1442"/>
      <c r="AQ6" s="1442"/>
      <c r="AR6" s="1442"/>
    </row>
    <row r="7" s="1512" customFormat="1" spans="1:44">
      <c r="A7" s="1424" t="s">
        <v>360</v>
      </c>
      <c r="B7" s="1442">
        <f t="shared" si="0"/>
        <v>0</v>
      </c>
      <c r="C7" s="1442"/>
      <c r="D7" s="1442"/>
      <c r="E7" s="1442"/>
      <c r="F7" s="1442"/>
      <c r="G7" s="1442"/>
      <c r="H7" s="1442"/>
      <c r="I7" s="1442"/>
      <c r="J7" s="1442"/>
      <c r="K7" s="1442"/>
      <c r="L7" s="1442"/>
      <c r="M7" s="1442"/>
      <c r="N7" s="1442"/>
      <c r="O7" s="1442"/>
      <c r="P7" s="1442"/>
      <c r="Q7" s="1442"/>
      <c r="R7" s="1442"/>
      <c r="S7" s="1442"/>
      <c r="T7" s="1442"/>
      <c r="U7" s="1442"/>
      <c r="V7" s="1442"/>
      <c r="W7" s="1442"/>
      <c r="X7" s="1442"/>
      <c r="Y7" s="1442"/>
      <c r="Z7" s="1442"/>
      <c r="AA7" s="1442"/>
      <c r="AB7" s="1442"/>
      <c r="AC7" s="1442"/>
      <c r="AD7" s="1442"/>
      <c r="AE7" s="1442"/>
      <c r="AF7" s="1442"/>
      <c r="AG7" s="1442"/>
      <c r="AH7" s="1442"/>
      <c r="AI7" s="1442"/>
      <c r="AJ7" s="1442"/>
      <c r="AK7" s="1442"/>
      <c r="AL7" s="1442"/>
      <c r="AM7" s="1442"/>
      <c r="AN7" s="1442"/>
      <c r="AO7" s="1442"/>
      <c r="AP7" s="1442"/>
      <c r="AQ7" s="1442"/>
      <c r="AR7" s="1442"/>
    </row>
    <row r="8" s="1511" customFormat="1" spans="1:44">
      <c r="A8" s="1520" t="s">
        <v>361</v>
      </c>
      <c r="B8" s="1500">
        <f t="shared" si="0"/>
        <v>40295.7413717281</v>
      </c>
      <c r="C8" s="1500">
        <f>C4-C5+C6-C7</f>
        <v>0</v>
      </c>
      <c r="D8" s="1500">
        <f t="shared" ref="D8:AR8" si="1">D4-D5+D6-D7</f>
        <v>0</v>
      </c>
      <c r="E8" s="1500">
        <f t="shared" si="1"/>
        <v>0</v>
      </c>
      <c r="F8" s="1500">
        <f t="shared" si="1"/>
        <v>0</v>
      </c>
      <c r="G8" s="1500">
        <f t="shared" si="1"/>
        <v>0</v>
      </c>
      <c r="H8" s="1500">
        <f t="shared" si="1"/>
        <v>0</v>
      </c>
      <c r="I8" s="1500">
        <f t="shared" si="1"/>
        <v>0</v>
      </c>
      <c r="J8" s="1500">
        <f t="shared" si="1"/>
        <v>0</v>
      </c>
      <c r="K8" s="1500">
        <f t="shared" si="1"/>
        <v>0</v>
      </c>
      <c r="L8" s="1500">
        <f t="shared" si="1"/>
        <v>-45472.5766551814</v>
      </c>
      <c r="M8" s="1500">
        <f t="shared" si="1"/>
        <v>-1969.63791232428</v>
      </c>
      <c r="N8" s="1500">
        <f t="shared" si="1"/>
        <v>-3438.00036043485</v>
      </c>
      <c r="O8" s="1500">
        <f t="shared" si="1"/>
        <v>-5914.26412898026</v>
      </c>
      <c r="P8" s="1500">
        <f t="shared" si="1"/>
        <v>14183.7873874003</v>
      </c>
      <c r="Q8" s="1500">
        <f t="shared" si="1"/>
        <v>16200.8206508396</v>
      </c>
      <c r="R8" s="1500">
        <f t="shared" si="1"/>
        <v>11476.1332387403</v>
      </c>
      <c r="S8" s="1500">
        <f t="shared" si="1"/>
        <v>11186.379018202</v>
      </c>
      <c r="T8" s="1500">
        <f t="shared" si="1"/>
        <v>12474.3208679309</v>
      </c>
      <c r="U8" s="1500">
        <f t="shared" si="1"/>
        <v>12093.0371865183</v>
      </c>
      <c r="V8" s="1500">
        <f t="shared" si="1"/>
        <v>15883.6783986614</v>
      </c>
      <c r="W8" s="1500">
        <f t="shared" si="1"/>
        <v>32526.604408579</v>
      </c>
      <c r="X8" s="1500">
        <f t="shared" si="1"/>
        <v>2510.82334975145</v>
      </c>
      <c r="Y8" s="1500">
        <f t="shared" si="1"/>
        <v>-9626.41686775013</v>
      </c>
      <c r="Z8" s="1500">
        <f t="shared" si="1"/>
        <v>-8917.29404078862</v>
      </c>
      <c r="AA8" s="1500">
        <f t="shared" si="1"/>
        <v>-3089.80118283504</v>
      </c>
      <c r="AB8" s="1500">
        <f t="shared" si="1"/>
        <v>-879.203145738899</v>
      </c>
      <c r="AC8" s="1500">
        <f t="shared" si="1"/>
        <v>-8932.64884086166</v>
      </c>
      <c r="AD8" s="1500">
        <f t="shared" si="1"/>
        <v>0</v>
      </c>
      <c r="AE8" s="1500">
        <f t="shared" si="1"/>
        <v>0</v>
      </c>
      <c r="AF8" s="1500">
        <f t="shared" si="1"/>
        <v>0</v>
      </c>
      <c r="AG8" s="1500">
        <f t="shared" si="1"/>
        <v>0</v>
      </c>
      <c r="AH8" s="1500">
        <f t="shared" si="1"/>
        <v>0</v>
      </c>
      <c r="AI8" s="1500">
        <f t="shared" si="1"/>
        <v>0</v>
      </c>
      <c r="AJ8" s="1500">
        <f t="shared" si="1"/>
        <v>0</v>
      </c>
      <c r="AK8" s="1500">
        <f t="shared" si="1"/>
        <v>0</v>
      </c>
      <c r="AL8" s="1500">
        <f t="shared" si="1"/>
        <v>0</v>
      </c>
      <c r="AM8" s="1500">
        <f t="shared" si="1"/>
        <v>0</v>
      </c>
      <c r="AN8" s="1500">
        <f t="shared" si="1"/>
        <v>0</v>
      </c>
      <c r="AO8" s="1500">
        <f t="shared" si="1"/>
        <v>0</v>
      </c>
      <c r="AP8" s="1500">
        <f t="shared" si="1"/>
        <v>0</v>
      </c>
      <c r="AQ8" s="1500">
        <f t="shared" si="1"/>
        <v>0</v>
      </c>
      <c r="AR8" s="1500">
        <f t="shared" si="1"/>
        <v>0</v>
      </c>
    </row>
    <row r="9" s="1511" customFormat="1" spans="1:44">
      <c r="A9" s="1520" t="s">
        <v>362</v>
      </c>
      <c r="B9" s="1500">
        <f t="shared" si="0"/>
        <v>778310.810844183</v>
      </c>
      <c r="C9" s="1500">
        <f>C8</f>
        <v>0</v>
      </c>
      <c r="D9" s="1500">
        <f t="shared" ref="D9:AE9" si="2">D8+C9</f>
        <v>0</v>
      </c>
      <c r="E9" s="1500">
        <f t="shared" si="2"/>
        <v>0</v>
      </c>
      <c r="F9" s="1500">
        <f t="shared" si="2"/>
        <v>0</v>
      </c>
      <c r="G9" s="1500">
        <f t="shared" si="2"/>
        <v>0</v>
      </c>
      <c r="H9" s="1500">
        <f t="shared" si="2"/>
        <v>0</v>
      </c>
      <c r="I9" s="1500">
        <f t="shared" si="2"/>
        <v>0</v>
      </c>
      <c r="J9" s="1500">
        <f t="shared" si="2"/>
        <v>0</v>
      </c>
      <c r="K9" s="1500">
        <f t="shared" si="2"/>
        <v>0</v>
      </c>
      <c r="L9" s="1500">
        <f t="shared" si="2"/>
        <v>-45472.5766551814</v>
      </c>
      <c r="M9" s="1500">
        <f t="shared" si="2"/>
        <v>-47442.2145675057</v>
      </c>
      <c r="N9" s="1500">
        <f t="shared" si="2"/>
        <v>-50880.2149279406</v>
      </c>
      <c r="O9" s="1500">
        <f t="shared" si="2"/>
        <v>-56794.4790569208</v>
      </c>
      <c r="P9" s="1500">
        <f t="shared" si="2"/>
        <v>-42610.6916695205</v>
      </c>
      <c r="Q9" s="1500">
        <f t="shared" si="2"/>
        <v>-26409.8710186809</v>
      </c>
      <c r="R9" s="1500">
        <f t="shared" si="2"/>
        <v>-14933.7377799405</v>
      </c>
      <c r="S9" s="1500">
        <f t="shared" si="2"/>
        <v>-3747.35876173854</v>
      </c>
      <c r="T9" s="1500">
        <f t="shared" si="2"/>
        <v>8726.96210619238</v>
      </c>
      <c r="U9" s="1500">
        <f t="shared" si="2"/>
        <v>20819.9992927107</v>
      </c>
      <c r="V9" s="1500">
        <f t="shared" si="2"/>
        <v>36703.677691372</v>
      </c>
      <c r="W9" s="1500">
        <f t="shared" si="2"/>
        <v>69230.282099951</v>
      </c>
      <c r="X9" s="1500">
        <f t="shared" si="2"/>
        <v>71741.1054497024</v>
      </c>
      <c r="Y9" s="1500">
        <f t="shared" si="2"/>
        <v>62114.6885819523</v>
      </c>
      <c r="Z9" s="1500">
        <f t="shared" si="2"/>
        <v>53197.3945411637</v>
      </c>
      <c r="AA9" s="1500">
        <f t="shared" si="2"/>
        <v>50107.5933583286</v>
      </c>
      <c r="AB9" s="1500">
        <f t="shared" si="2"/>
        <v>49228.3902125897</v>
      </c>
      <c r="AC9" s="1500">
        <f t="shared" si="2"/>
        <v>40295.7413717281</v>
      </c>
      <c r="AD9" s="1500">
        <f t="shared" si="2"/>
        <v>40295.7413717281</v>
      </c>
      <c r="AE9" s="1500">
        <f t="shared" si="2"/>
        <v>40295.7413717281</v>
      </c>
      <c r="AF9" s="1500">
        <f t="shared" ref="AF9:AR9" si="3">AF8+AE9</f>
        <v>40295.7413717281</v>
      </c>
      <c r="AG9" s="1500">
        <f t="shared" si="3"/>
        <v>40295.7413717281</v>
      </c>
      <c r="AH9" s="1500">
        <f t="shared" si="3"/>
        <v>40295.7413717281</v>
      </c>
      <c r="AI9" s="1500">
        <f t="shared" si="3"/>
        <v>40295.7413717281</v>
      </c>
      <c r="AJ9" s="1500">
        <f t="shared" si="3"/>
        <v>40295.7413717281</v>
      </c>
      <c r="AK9" s="1500">
        <f t="shared" si="3"/>
        <v>40295.7413717281</v>
      </c>
      <c r="AL9" s="1500">
        <f t="shared" si="3"/>
        <v>40295.7413717281</v>
      </c>
      <c r="AM9" s="1500">
        <f t="shared" si="3"/>
        <v>40295.7413717281</v>
      </c>
      <c r="AN9" s="1500">
        <f t="shared" si="3"/>
        <v>40295.7413717281</v>
      </c>
      <c r="AO9" s="1500">
        <f t="shared" si="3"/>
        <v>40295.7413717281</v>
      </c>
      <c r="AP9" s="1500">
        <f t="shared" si="3"/>
        <v>40295.7413717281</v>
      </c>
      <c r="AQ9" s="1500">
        <f t="shared" si="3"/>
        <v>40295.7413717281</v>
      </c>
      <c r="AR9" s="1500">
        <f t="shared" si="3"/>
        <v>40295.7413717281</v>
      </c>
    </row>
    <row r="10" s="1511" customFormat="1" spans="1:44">
      <c r="A10" s="1520" t="s">
        <v>363</v>
      </c>
      <c r="B10" s="1500">
        <f t="shared" si="0"/>
        <v>34079.4635697959</v>
      </c>
      <c r="C10" s="1500">
        <f>创造利润!C29</f>
        <v>0</v>
      </c>
      <c r="D10" s="1500">
        <f>创造利润!D29</f>
        <v>0</v>
      </c>
      <c r="E10" s="1500">
        <f>创造利润!E29</f>
        <v>0</v>
      </c>
      <c r="F10" s="1500">
        <f>创造利润!F29</f>
        <v>0</v>
      </c>
      <c r="G10" s="1500">
        <f>创造利润!G29</f>
        <v>0</v>
      </c>
      <c r="H10" s="1500">
        <f>创造利润!H29</f>
        <v>0</v>
      </c>
      <c r="I10" s="1500">
        <f>创造利润!I29</f>
        <v>0</v>
      </c>
      <c r="J10" s="1500">
        <f>创造利润!J29</f>
        <v>0</v>
      </c>
      <c r="K10" s="1500">
        <f>创造利润!K29</f>
        <v>0</v>
      </c>
      <c r="L10" s="1500">
        <f>创造利润!L29</f>
        <v>0</v>
      </c>
      <c r="M10" s="1500">
        <f>创造利润!M29</f>
        <v>0</v>
      </c>
      <c r="N10" s="1500">
        <f>创造利润!N29</f>
        <v>0</v>
      </c>
      <c r="O10" s="1500">
        <f>创造利润!O29</f>
        <v>0</v>
      </c>
      <c r="P10" s="1500">
        <f>创造利润!P29</f>
        <v>4049.30316162872</v>
      </c>
      <c r="Q10" s="1500">
        <f>创造利润!Q29</f>
        <v>4049.30316162872</v>
      </c>
      <c r="R10" s="1500">
        <f>创造利润!R29</f>
        <v>4049.30316162872</v>
      </c>
      <c r="S10" s="1500">
        <f>创造利润!S29</f>
        <v>4049.30316162872</v>
      </c>
      <c r="T10" s="1500">
        <f>创造利润!T29</f>
        <v>3974.70666449974</v>
      </c>
      <c r="U10" s="1500">
        <f>创造利润!U29</f>
        <v>3974.70666449974</v>
      </c>
      <c r="V10" s="1500">
        <f>创造利润!V29</f>
        <v>3974.70666449974</v>
      </c>
      <c r="W10" s="1500">
        <f>创造利润!W29</f>
        <v>5958.13092978183</v>
      </c>
      <c r="X10" s="1500">
        <f>创造利润!X29</f>
        <v>0</v>
      </c>
      <c r="Y10" s="1500">
        <f>创造利润!Y29</f>
        <v>0</v>
      </c>
      <c r="Z10" s="1500">
        <f>创造利润!Z29</f>
        <v>0</v>
      </c>
      <c r="AA10" s="1500">
        <f>创造利润!AA29</f>
        <v>0</v>
      </c>
      <c r="AB10" s="1500">
        <f>创造利润!AB29</f>
        <v>0</v>
      </c>
      <c r="AC10" s="1500">
        <f>创造利润!AC29</f>
        <v>0</v>
      </c>
      <c r="AD10" s="1500">
        <f>创造利润!AD29</f>
        <v>0</v>
      </c>
      <c r="AE10" s="1500">
        <f>创造利润!AE29</f>
        <v>0</v>
      </c>
      <c r="AF10" s="1500">
        <f>创造利润!AF29</f>
        <v>0</v>
      </c>
      <c r="AG10" s="1500">
        <f>创造利润!AG29</f>
        <v>0</v>
      </c>
      <c r="AH10" s="1500">
        <f>创造利润!AH29</f>
        <v>0</v>
      </c>
      <c r="AI10" s="1500">
        <f>创造利润!AI29</f>
        <v>0</v>
      </c>
      <c r="AJ10" s="1500">
        <f>创造利润!AJ29</f>
        <v>0</v>
      </c>
      <c r="AK10" s="1500">
        <f>创造利润!AK29</f>
        <v>0</v>
      </c>
      <c r="AL10" s="1500">
        <f>创造利润!AL29</f>
        <v>0</v>
      </c>
      <c r="AM10" s="1500">
        <f>创造利润!AM29</f>
        <v>0</v>
      </c>
      <c r="AN10" s="1500">
        <f>创造利润!AN29</f>
        <v>0</v>
      </c>
      <c r="AO10" s="1500">
        <f>创造利润!AO29</f>
        <v>0</v>
      </c>
      <c r="AP10" s="1500">
        <f>创造利润!AP29</f>
        <v>0</v>
      </c>
      <c r="AQ10" s="1500">
        <f>创造利润!AQ29</f>
        <v>0</v>
      </c>
      <c r="AR10" s="1500">
        <f>创造利润!AR29</f>
        <v>0</v>
      </c>
    </row>
    <row r="11" s="1511" customFormat="1" spans="1:44">
      <c r="A11" s="1520" t="s">
        <v>242</v>
      </c>
      <c r="B11" s="1500">
        <f t="shared" si="0"/>
        <v>34079.463569796</v>
      </c>
      <c r="C11" s="1500"/>
      <c r="D11" s="1500"/>
      <c r="E11" s="1500"/>
      <c r="F11" s="1500">
        <f>结算利润!E29</f>
        <v>0</v>
      </c>
      <c r="G11" s="1500">
        <f>结算利润!F29</f>
        <v>0</v>
      </c>
      <c r="H11" s="1500">
        <f>结算利润!G29</f>
        <v>0</v>
      </c>
      <c r="I11" s="1500">
        <f>结算利润!H29</f>
        <v>0</v>
      </c>
      <c r="J11" s="1500">
        <f>结算利润!I29</f>
        <v>0</v>
      </c>
      <c r="K11" s="1500">
        <f>结算利润!J29</f>
        <v>0</v>
      </c>
      <c r="L11" s="1500">
        <f>结算利润!K29</f>
        <v>0</v>
      </c>
      <c r="M11" s="1500">
        <f>结算利润!L29</f>
        <v>0</v>
      </c>
      <c r="N11" s="1500">
        <f>结算利润!M29</f>
        <v>0</v>
      </c>
      <c r="O11" s="1500">
        <f>结算利润!N29</f>
        <v>0</v>
      </c>
      <c r="P11" s="1500">
        <f>结算利润!O29</f>
        <v>-1323.46844395785</v>
      </c>
      <c r="Q11" s="1500">
        <f>结算利润!P29</f>
        <v>-1323.46844395785</v>
      </c>
      <c r="R11" s="1500">
        <f>结算利润!Q29</f>
        <v>-1323.46844395785</v>
      </c>
      <c r="S11" s="1500">
        <f>结算利润!R29</f>
        <v>-1323.46844395785</v>
      </c>
      <c r="T11" s="1500">
        <f>结算利润!S29</f>
        <v>-1323.46844395785</v>
      </c>
      <c r="U11" s="1500">
        <f>结算利润!T29</f>
        <v>20167.6179783884</v>
      </c>
      <c r="V11" s="1500">
        <f>结算利润!U29</f>
        <v>-1323.46844395785</v>
      </c>
      <c r="W11" s="1500">
        <f>结算利润!V29</f>
        <v>-2307.68083021369</v>
      </c>
      <c r="X11" s="1500">
        <f>结算利润!W29</f>
        <v>0</v>
      </c>
      <c r="Y11" s="1500">
        <f>结算利润!X29</f>
        <v>24160.3370853683</v>
      </c>
      <c r="Z11" s="1500">
        <f>结算利润!Y29</f>
        <v>0</v>
      </c>
      <c r="AA11" s="1500">
        <f>结算利润!Z29</f>
        <v>0</v>
      </c>
      <c r="AB11" s="1500">
        <f>结算利润!AA29</f>
        <v>0</v>
      </c>
      <c r="AC11" s="1500">
        <f>结算利润!AB29</f>
        <v>0</v>
      </c>
      <c r="AD11" s="1500">
        <f>结算利润!AC29</f>
        <v>0</v>
      </c>
      <c r="AE11" s="1500">
        <f>结算利润!AD29</f>
        <v>0</v>
      </c>
      <c r="AF11" s="1500">
        <f>结算利润!AE29</f>
        <v>0</v>
      </c>
      <c r="AG11" s="1500">
        <f>结算利润!AF29</f>
        <v>0</v>
      </c>
      <c r="AH11" s="1500">
        <f>结算利润!AG29</f>
        <v>0</v>
      </c>
      <c r="AI11" s="1500">
        <f>结算利润!AH29</f>
        <v>0</v>
      </c>
      <c r="AJ11" s="1500">
        <f>结算利润!AI29</f>
        <v>0</v>
      </c>
      <c r="AK11" s="1500">
        <f>结算利润!AJ29</f>
        <v>0</v>
      </c>
      <c r="AL11" s="1500">
        <f>结算利润!AK29</f>
        <v>0</v>
      </c>
      <c r="AM11" s="1500">
        <f>结算利润!AL29</f>
        <v>0</v>
      </c>
      <c r="AN11" s="1500">
        <f>结算利润!AM29</f>
        <v>0</v>
      </c>
      <c r="AO11" s="1500">
        <f>结算利润!AN29</f>
        <v>0</v>
      </c>
      <c r="AP11" s="1500">
        <f>结算利润!AO29</f>
        <v>0</v>
      </c>
      <c r="AQ11" s="1500">
        <f>结算利润!AP29</f>
        <v>0</v>
      </c>
      <c r="AR11" s="1500">
        <f>结算利润!AQ29</f>
        <v>0</v>
      </c>
    </row>
    <row r="12" s="1511" customFormat="1" spans="1:44">
      <c r="A12" s="1520" t="s">
        <v>364</v>
      </c>
      <c r="B12" s="1500"/>
      <c r="C12" s="1500"/>
      <c r="D12" s="1500"/>
      <c r="E12" s="1500"/>
      <c r="F12" s="1500">
        <f>IF(SUM($C$10:F10)*60%+SUM($C$11:F11)*20%&gt;0,SUM($C$10:F10)*60%+SUM($C$11:F11)*20%,0)</f>
        <v>0</v>
      </c>
      <c r="G12" s="1500">
        <f>IF(SUM($C$10:G10)*60%+SUM($C$11:G11)*20%&gt;0,SUM($C$10:G10)*60%+SUM($C$11:G11)*20%,0)</f>
        <v>0</v>
      </c>
      <c r="H12" s="1500">
        <f>IF(SUM($C$10:H10)*60%+SUM($C$11:H11)*20%&gt;0,SUM($C$10:H10)*60%+SUM($C$11:H11)*20%,0)</f>
        <v>0</v>
      </c>
      <c r="I12" s="1500">
        <f>IF(SUM($C$10:I10)*60%+SUM($C$11:I11)*20%&gt;0,SUM($C$10:I10)*60%+SUM($C$11:I11)*20%,0)</f>
        <v>0</v>
      </c>
      <c r="J12" s="1500">
        <f>IF(SUM($C$10:J10)*60%+SUM($C$11:J11)*20%&gt;0,SUM($C$10:J10)*60%+SUM($C$11:J11)*20%,0)</f>
        <v>0</v>
      </c>
      <c r="K12" s="1500">
        <f>IF(SUM($C$10:K10)*60%+SUM($C$11:K11)*20%&gt;0,SUM($C$10:K10)*60%+SUM($C$11:K11)*20%,0)</f>
        <v>0</v>
      </c>
      <c r="L12" s="1500">
        <f>IF(SUM($C$10:L10)*60%+SUM($C$11:L11)*20%&gt;0,SUM($C$10:L10)*60%+SUM($C$11:L11)*20%,0)</f>
        <v>0</v>
      </c>
      <c r="M12" s="1500">
        <f>IF(SUM($C$10:M10)*60%+SUM($C$11:M11)*20%&gt;0,SUM($C$10:M10)*60%+SUM($C$11:M11)*20%,0)</f>
        <v>0</v>
      </c>
      <c r="N12" s="1500">
        <f>IF(SUM($C$10:N10)*60%+SUM($C$11:N11)*20%&gt;0,SUM($C$10:N10)*60%+SUM($C$11:N11)*20%,0)</f>
        <v>0</v>
      </c>
      <c r="O12" s="1500">
        <f>IF(SUM($C$10:O10)*60%+SUM($C$11:O11)*20%&gt;0,SUM($C$10:O10)*60%+SUM($C$11:O11)*20%,0)</f>
        <v>0</v>
      </c>
      <c r="P12" s="1500">
        <f>IF(SUM($C$10:P10)*60%+SUM($C$11:P11)*20%&gt;0,SUM($C$10:P10)*60%+SUM($C$11:P11)*20%,0)</f>
        <v>2164.88820818566</v>
      </c>
      <c r="Q12" s="1500">
        <f>IF(SUM($C$10:Q10)*60%+SUM($C$11:Q11)*20%&gt;0,SUM($C$10:Q10)*60%+SUM($C$11:Q11)*20%,0)</f>
        <v>4329.77641637133</v>
      </c>
      <c r="R12" s="1500">
        <f>IF(SUM($C$10:R10)*60%+SUM($C$11:R11)*20%&gt;0,SUM($C$10:R10)*60%+SUM($C$11:R11)*20%,0)</f>
        <v>6494.66462455699</v>
      </c>
      <c r="S12" s="1500">
        <f>IF(SUM($C$10:S10)*60%+SUM($C$11:S11)*20%&gt;0,SUM($C$10:S10)*60%+SUM($C$11:S11)*20%,0)</f>
        <v>8659.55283274266</v>
      </c>
      <c r="T12" s="1500">
        <f>IF(SUM($C$10:T10)*60%+SUM($C$11:T11)*20%&gt;0,SUM($C$10:T10)*60%+SUM($C$11:T11)*20%,0)</f>
        <v>10779.6831426509</v>
      </c>
      <c r="U12" s="1500">
        <f>IF(SUM($C$10:U10)*60%+SUM($C$11:U11)*20%&gt;0,SUM($C$10:U10)*60%+SUM($C$11:U11)*20%,0)</f>
        <v>17198.0307370285</v>
      </c>
      <c r="V12" s="1500">
        <f>IF(SUM($C$10:V10)*60%+SUM($C$11:V11)*20%&gt;0,SUM($C$10:V10)*60%+SUM($C$11:V11)*20%,0)</f>
        <v>19318.1610469367</v>
      </c>
      <c r="W12" s="1500">
        <f>IF(SUM($C$10:W10)*60%+SUM($C$11:W11)*20%&gt;0,SUM($C$10:W10)*60%+SUM($C$11:W11)*20%,0)</f>
        <v>22431.5034387631</v>
      </c>
      <c r="X12" s="1500">
        <f>IF(SUM($C$10:X10)*60%+SUM($C$11:X11)*20%&gt;0,SUM($C$10:X10)*60%+SUM($C$11:X11)*20%,0)</f>
        <v>22431.5034387631</v>
      </c>
      <c r="Y12" s="1500">
        <f>IF(SUM($C$10:Y10)*60%+SUM($C$11:Y11)*20%&gt;0,SUM($C$10:Y10)*60%+SUM($C$11:Y11)*20%,0)</f>
        <v>27263.5708558368</v>
      </c>
      <c r="Z12" s="1500">
        <f>IF(SUM($C$10:Z10)*60%+SUM($C$11:Z11)*20%&gt;0,SUM($C$10:Z10)*60%+SUM($C$11:Z11)*20%,0)</f>
        <v>27263.5708558368</v>
      </c>
      <c r="AA12" s="1500">
        <f>IF(SUM($C$10:AA10)*60%+SUM($C$11:AA11)*20%&gt;0,SUM($C$10:AA10)*60%+SUM($C$11:AA11)*20%,0)</f>
        <v>27263.5708558368</v>
      </c>
      <c r="AB12" s="1500">
        <f>IF(SUM($C$10:AB10)*60%+SUM($C$11:AB11)*20%&gt;0,SUM($C$10:AB10)*60%+SUM($C$11:AB11)*20%,0)</f>
        <v>27263.5708558368</v>
      </c>
      <c r="AC12" s="1500">
        <f>IF(SUM($C$10:AC10)*60%+SUM($C$11:AC11)*20%&gt;0,SUM($C$10:AC10)*60%+SUM($C$11:AC11)*20%,0)</f>
        <v>27263.5708558368</v>
      </c>
      <c r="AD12" s="1500">
        <f>IF(SUM($C$10:AD10)*60%+SUM($C$11:AD11)*20%&gt;0,SUM($C$10:AD10)*60%+SUM($C$11:AD11)*20%,0)</f>
        <v>27263.5708558368</v>
      </c>
      <c r="AE12" s="1500">
        <f>IF(SUM($C$10:AE10)*60%+SUM($C$11:AE11)*20%&gt;0,SUM($C$10:AE10)*60%+SUM($C$11:AE11)*20%,0)</f>
        <v>27263.5708558368</v>
      </c>
      <c r="AF12" s="1500">
        <f>IF(SUM($C$10:AF10)*60%+SUM($C$11:AF11)*20%&gt;0,SUM($C$10:AF10)*60%+SUM($C$11:AF11)*20%,0)</f>
        <v>27263.5708558368</v>
      </c>
      <c r="AG12" s="1500">
        <f>IF(SUM($C$10:AG10)*60%+SUM($C$11:AG11)*20%&gt;0,SUM($C$10:AG10)*60%+SUM($C$11:AG11)*20%,0)</f>
        <v>27263.5708558368</v>
      </c>
      <c r="AH12" s="1500">
        <f>IF(SUM($C$10:AH10)*60%+SUM($C$11:AH11)*20%&gt;0,SUM($C$10:AH10)*60%+SUM($C$11:AH11)*20%,0)</f>
        <v>27263.5708558368</v>
      </c>
      <c r="AI12" s="1500">
        <f>IF(SUM($C$10:AI10)*60%+SUM($C$11:AI11)*20%&gt;0,SUM($C$10:AI10)*60%+SUM($C$11:AI11)*20%,0)</f>
        <v>27263.5708558368</v>
      </c>
      <c r="AJ12" s="1500">
        <f>IF(SUM($C$10:AJ10)*60%+SUM($C$11:AJ11)*20%&gt;0,SUM($C$10:AJ10)*60%+SUM($C$11:AJ11)*20%,0)</f>
        <v>27263.5708558368</v>
      </c>
      <c r="AK12" s="1500">
        <f>IF(SUM($C$10:AK10)*60%+SUM($C$11:AK11)*20%&gt;0,SUM($C$10:AK10)*60%+SUM($C$11:AK11)*20%,0)</f>
        <v>27263.5708558368</v>
      </c>
      <c r="AL12" s="1500">
        <f>IF(SUM($C$10:AL10)*60%+SUM($C$11:AL11)*20%&gt;0,SUM($C$10:AL10)*60%+SUM($C$11:AL11)*20%,0)</f>
        <v>27263.5708558368</v>
      </c>
      <c r="AM12" s="1500">
        <f>IF(SUM($C$10:AM10)*60%+SUM($C$11:AM11)*20%&gt;0,SUM($C$10:AM10)*60%+SUM($C$11:AM11)*20%,0)</f>
        <v>27263.5708558368</v>
      </c>
      <c r="AN12" s="1500">
        <f>IF(SUM($C$10:AN10)*60%+SUM($C$11:AN11)*20%&gt;0,SUM($C$10:AN10)*60%+SUM($C$11:AN11)*20%,0)</f>
        <v>27263.5708558368</v>
      </c>
      <c r="AO12" s="1500">
        <f>IF(SUM($C$10:AO10)*60%+SUM($C$11:AO11)*20%&gt;0,SUM($C$10:AO10)*60%+SUM($C$11:AO11)*20%,0)</f>
        <v>27263.5708558368</v>
      </c>
      <c r="AP12" s="1500">
        <f>IF(SUM($C$10:AP10)*60%+SUM($C$11:AP11)*20%&gt;0,SUM($C$10:AP10)*60%+SUM($C$11:AP11)*20%,0)</f>
        <v>27263.5708558368</v>
      </c>
      <c r="AQ12" s="1500">
        <f>IF(SUM($C$10:AQ10)*60%+SUM($C$11:AQ11)*20%&gt;0,SUM($C$10:AQ10)*60%+SUM($C$11:AQ11)*20%,0)</f>
        <v>27263.5708558368</v>
      </c>
      <c r="AR12" s="1500">
        <f>IF(SUM($C$10:AR10)*60%+SUM($C$11:AR11)*20%&gt;0,SUM($C$10:AR10)*60%+SUM($C$11:AR11)*20%,0)</f>
        <v>27263.5708558368</v>
      </c>
    </row>
    <row r="13" s="1511" customFormat="1" spans="1:44">
      <c r="A13" s="1521" t="s">
        <v>365</v>
      </c>
      <c r="B13" s="1500"/>
      <c r="C13" s="1500"/>
      <c r="D13" s="1500"/>
      <c r="E13" s="1500"/>
      <c r="F13" s="1500">
        <f>F12*80%</f>
        <v>0</v>
      </c>
      <c r="G13" s="1500">
        <f t="shared" ref="G13:AR13" si="4">G12*80%</f>
        <v>0</v>
      </c>
      <c r="H13" s="1500">
        <f t="shared" si="4"/>
        <v>0</v>
      </c>
      <c r="I13" s="1500">
        <f t="shared" si="4"/>
        <v>0</v>
      </c>
      <c r="J13" s="1500">
        <f t="shared" si="4"/>
        <v>0</v>
      </c>
      <c r="K13" s="1500">
        <f t="shared" si="4"/>
        <v>0</v>
      </c>
      <c r="L13" s="1500">
        <f t="shared" si="4"/>
        <v>0</v>
      </c>
      <c r="M13" s="1500">
        <f t="shared" si="4"/>
        <v>0</v>
      </c>
      <c r="N13" s="1500">
        <f t="shared" si="4"/>
        <v>0</v>
      </c>
      <c r="O13" s="1500">
        <f t="shared" si="4"/>
        <v>0</v>
      </c>
      <c r="P13" s="1500">
        <f t="shared" si="4"/>
        <v>1731.91056654853</v>
      </c>
      <c r="Q13" s="1500">
        <f t="shared" si="4"/>
        <v>3463.82113309706</v>
      </c>
      <c r="R13" s="1500">
        <f t="shared" si="4"/>
        <v>5195.7316996456</v>
      </c>
      <c r="S13" s="1500">
        <f t="shared" si="4"/>
        <v>6927.64226619413</v>
      </c>
      <c r="T13" s="1500">
        <f t="shared" si="4"/>
        <v>8623.74651412075</v>
      </c>
      <c r="U13" s="1500">
        <f t="shared" si="4"/>
        <v>13758.4245896228</v>
      </c>
      <c r="V13" s="1500">
        <f t="shared" si="4"/>
        <v>15454.5288375494</v>
      </c>
      <c r="W13" s="1500">
        <f t="shared" si="4"/>
        <v>17945.2027510105</v>
      </c>
      <c r="X13" s="1500">
        <f t="shared" si="4"/>
        <v>17945.2027510105</v>
      </c>
      <c r="Y13" s="1500">
        <f t="shared" si="4"/>
        <v>21810.8566846694</v>
      </c>
      <c r="Z13" s="1500">
        <f t="shared" si="4"/>
        <v>21810.8566846694</v>
      </c>
      <c r="AA13" s="1500">
        <f t="shared" si="4"/>
        <v>21810.8566846694</v>
      </c>
      <c r="AB13" s="1500">
        <f t="shared" si="4"/>
        <v>21810.8566846694</v>
      </c>
      <c r="AC13" s="1500">
        <f t="shared" si="4"/>
        <v>21810.8566846694</v>
      </c>
      <c r="AD13" s="1500">
        <f t="shared" si="4"/>
        <v>21810.8566846694</v>
      </c>
      <c r="AE13" s="1500">
        <f t="shared" si="4"/>
        <v>21810.8566846694</v>
      </c>
      <c r="AF13" s="1500">
        <f t="shared" si="4"/>
        <v>21810.8566846694</v>
      </c>
      <c r="AG13" s="1500">
        <f t="shared" si="4"/>
        <v>21810.8566846694</v>
      </c>
      <c r="AH13" s="1500">
        <f t="shared" si="4"/>
        <v>21810.8566846694</v>
      </c>
      <c r="AI13" s="1500">
        <f t="shared" si="4"/>
        <v>21810.8566846694</v>
      </c>
      <c r="AJ13" s="1500">
        <f t="shared" si="4"/>
        <v>21810.8566846694</v>
      </c>
      <c r="AK13" s="1500">
        <f t="shared" si="4"/>
        <v>21810.8566846694</v>
      </c>
      <c r="AL13" s="1500">
        <f t="shared" si="4"/>
        <v>21810.8566846694</v>
      </c>
      <c r="AM13" s="1500">
        <f t="shared" si="4"/>
        <v>21810.8566846694</v>
      </c>
      <c r="AN13" s="1500">
        <f t="shared" si="4"/>
        <v>21810.8566846694</v>
      </c>
      <c r="AO13" s="1500">
        <f t="shared" si="4"/>
        <v>21810.8566846694</v>
      </c>
      <c r="AP13" s="1500">
        <f t="shared" si="4"/>
        <v>21810.8566846694</v>
      </c>
      <c r="AQ13" s="1500">
        <f t="shared" si="4"/>
        <v>21810.8566846694</v>
      </c>
      <c r="AR13" s="1500">
        <f t="shared" si="4"/>
        <v>21810.8566846694</v>
      </c>
    </row>
    <row r="14" s="1512" customFormat="1" spans="1:44">
      <c r="A14" s="1424" t="s">
        <v>366</v>
      </c>
      <c r="B14" s="1442"/>
      <c r="C14" s="1442"/>
      <c r="D14" s="1442"/>
      <c r="E14" s="1442"/>
      <c r="F14" s="1442"/>
      <c r="G14" s="1442"/>
      <c r="H14" s="1442"/>
      <c r="I14" s="1442"/>
      <c r="J14" s="1442"/>
      <c r="K14" s="1442"/>
      <c r="L14" s="1442"/>
      <c r="M14" s="1442"/>
      <c r="N14" s="1442"/>
      <c r="O14" s="1442"/>
      <c r="P14" s="1442"/>
      <c r="Q14" s="1442"/>
      <c r="R14" s="1442"/>
      <c r="S14" s="1442"/>
      <c r="T14" s="1442"/>
      <c r="U14" s="1442"/>
      <c r="V14" s="1442"/>
      <c r="W14" s="1442"/>
      <c r="X14" s="1442"/>
      <c r="Y14" s="1442"/>
      <c r="Z14" s="1442"/>
      <c r="AA14" s="1442"/>
      <c r="AB14" s="1442"/>
      <c r="AC14" s="1442"/>
      <c r="AD14" s="1442"/>
      <c r="AE14" s="1442"/>
      <c r="AF14" s="1442"/>
      <c r="AG14" s="1442"/>
      <c r="AH14" s="1442"/>
      <c r="AI14" s="1442"/>
      <c r="AJ14" s="1442"/>
      <c r="AK14" s="1442"/>
      <c r="AL14" s="1442"/>
      <c r="AM14" s="1442"/>
      <c r="AN14" s="1442"/>
      <c r="AO14" s="1442"/>
      <c r="AP14" s="1442"/>
      <c r="AQ14" s="1442"/>
      <c r="AR14" s="1442"/>
    </row>
    <row r="15" s="1512" customFormat="1" spans="1:44">
      <c r="A15" s="1424" t="s">
        <v>367</v>
      </c>
      <c r="B15" s="1442"/>
      <c r="C15" s="1442"/>
      <c r="D15" s="1442"/>
      <c r="E15" s="1442"/>
      <c r="F15" s="1442"/>
      <c r="G15" s="1442"/>
      <c r="H15" s="1442"/>
      <c r="I15" s="1442"/>
      <c r="J15" s="1442"/>
      <c r="K15" s="1442"/>
      <c r="L15" s="1442"/>
      <c r="M15" s="1442"/>
      <c r="N15" s="1442"/>
      <c r="O15" s="1442"/>
      <c r="P15" s="1442"/>
      <c r="Q15" s="1442"/>
      <c r="R15" s="1442"/>
      <c r="S15" s="1442"/>
      <c r="T15" s="1442"/>
      <c r="U15" s="1442"/>
      <c r="V15" s="1442"/>
      <c r="W15" s="1442"/>
      <c r="X15" s="1442"/>
      <c r="Y15" s="1442"/>
      <c r="Z15" s="1442"/>
      <c r="AA15" s="1442"/>
      <c r="AB15" s="1442"/>
      <c r="AC15" s="1442"/>
      <c r="AD15" s="1442"/>
      <c r="AE15" s="1442"/>
      <c r="AF15" s="1442"/>
      <c r="AG15" s="1442"/>
      <c r="AH15" s="1442"/>
      <c r="AI15" s="1442"/>
      <c r="AJ15" s="1442"/>
      <c r="AK15" s="1442"/>
      <c r="AL15" s="1442"/>
      <c r="AM15" s="1442"/>
      <c r="AN15" s="1442"/>
      <c r="AO15" s="1442"/>
      <c r="AP15" s="1442"/>
      <c r="AQ15" s="1442"/>
      <c r="AR15" s="1442"/>
    </row>
    <row r="16" s="1512" customFormat="1" spans="1:44">
      <c r="A16" s="1424" t="s">
        <v>368</v>
      </c>
      <c r="B16" s="1442"/>
      <c r="C16" s="1442"/>
      <c r="D16" s="1442"/>
      <c r="E16" s="1442"/>
      <c r="F16" s="1442"/>
      <c r="G16" s="1442"/>
      <c r="H16" s="1442"/>
      <c r="I16" s="1442"/>
      <c r="J16" s="1442"/>
      <c r="K16" s="1442"/>
      <c r="L16" s="1442"/>
      <c r="M16" s="1442"/>
      <c r="N16" s="1442"/>
      <c r="O16" s="1442"/>
      <c r="P16" s="1442"/>
      <c r="Q16" s="1442"/>
      <c r="R16" s="1442"/>
      <c r="S16" s="1442"/>
      <c r="T16" s="1442"/>
      <c r="U16" s="1442"/>
      <c r="V16" s="1442"/>
      <c r="W16" s="1442"/>
      <c r="X16" s="1442"/>
      <c r="Y16" s="1442"/>
      <c r="Z16" s="1442"/>
      <c r="AA16" s="1442"/>
      <c r="AB16" s="1442"/>
      <c r="AC16" s="1442"/>
      <c r="AD16" s="1442"/>
      <c r="AE16" s="1442"/>
      <c r="AF16" s="1442"/>
      <c r="AG16" s="1442"/>
      <c r="AH16" s="1442"/>
      <c r="AI16" s="1442"/>
      <c r="AJ16" s="1442"/>
      <c r="AK16" s="1442"/>
      <c r="AL16" s="1442"/>
      <c r="AM16" s="1442"/>
      <c r="AN16" s="1442"/>
      <c r="AO16" s="1442"/>
      <c r="AP16" s="1442"/>
      <c r="AQ16" s="1442"/>
      <c r="AR16" s="1442"/>
    </row>
    <row r="17" s="1511" customFormat="1" ht="12" customHeight="1" spans="1:44">
      <c r="A17" s="1520" t="s">
        <v>369</v>
      </c>
      <c r="B17" s="1500"/>
      <c r="C17" s="1500">
        <f>IF(SUM(D8:E8)+C14-E14&lt;0,-(SUM(D8:E8)+C14-E14),0)</f>
        <v>0</v>
      </c>
      <c r="D17" s="1500">
        <f t="shared" ref="D17:AP17" si="5">IF(SUM(E8:F8)+D14-F14&lt;0,-(SUM(E8:F8)+D14-F14),0)</f>
        <v>0</v>
      </c>
      <c r="E17" s="1500">
        <f t="shared" si="5"/>
        <v>0</v>
      </c>
      <c r="F17" s="1500">
        <f t="shared" si="5"/>
        <v>0</v>
      </c>
      <c r="G17" s="1500">
        <f t="shared" si="5"/>
        <v>0</v>
      </c>
      <c r="H17" s="1500">
        <f t="shared" si="5"/>
        <v>0</v>
      </c>
      <c r="I17" s="1500">
        <f t="shared" si="5"/>
        <v>0</v>
      </c>
      <c r="J17" s="1500">
        <f t="shared" si="5"/>
        <v>45472.5766551814</v>
      </c>
      <c r="K17" s="1500">
        <f t="shared" si="5"/>
        <v>47442.2145675057</v>
      </c>
      <c r="L17" s="1500">
        <f t="shared" si="5"/>
        <v>5407.63827275913</v>
      </c>
      <c r="M17" s="1500">
        <f t="shared" si="5"/>
        <v>9352.26448941511</v>
      </c>
      <c r="N17" s="1500">
        <f t="shared" si="5"/>
        <v>0</v>
      </c>
      <c r="O17" s="1500">
        <f t="shared" si="5"/>
        <v>0</v>
      </c>
      <c r="P17" s="1500">
        <f t="shared" si="5"/>
        <v>0</v>
      </c>
      <c r="Q17" s="1500">
        <f t="shared" si="5"/>
        <v>0</v>
      </c>
      <c r="R17" s="1500">
        <f t="shared" si="5"/>
        <v>0</v>
      </c>
      <c r="S17" s="1500">
        <f t="shared" si="5"/>
        <v>0</v>
      </c>
      <c r="T17" s="1500">
        <f t="shared" si="5"/>
        <v>0</v>
      </c>
      <c r="U17" s="1500">
        <f t="shared" si="5"/>
        <v>0</v>
      </c>
      <c r="V17" s="1500">
        <f t="shared" si="5"/>
        <v>0</v>
      </c>
      <c r="W17" s="1500">
        <f t="shared" si="5"/>
        <v>7115.59351799868</v>
      </c>
      <c r="X17" s="1500">
        <f t="shared" si="5"/>
        <v>18543.7109085388</v>
      </c>
      <c r="Y17" s="1500">
        <f t="shared" si="5"/>
        <v>12007.0952236237</v>
      </c>
      <c r="Z17" s="1500">
        <f t="shared" si="5"/>
        <v>3969.00432857394</v>
      </c>
      <c r="AA17" s="1500">
        <f t="shared" si="5"/>
        <v>9811.85198660056</v>
      </c>
      <c r="AB17" s="1500">
        <f t="shared" si="5"/>
        <v>8932.64884086166</v>
      </c>
      <c r="AC17" s="1500">
        <f t="shared" si="5"/>
        <v>0</v>
      </c>
      <c r="AD17" s="1500">
        <f t="shared" si="5"/>
        <v>0</v>
      </c>
      <c r="AE17" s="1500">
        <f t="shared" si="5"/>
        <v>0</v>
      </c>
      <c r="AF17" s="1500">
        <f t="shared" si="5"/>
        <v>0</v>
      </c>
      <c r="AG17" s="1500">
        <f t="shared" si="5"/>
        <v>0</v>
      </c>
      <c r="AH17" s="1500">
        <f t="shared" si="5"/>
        <v>0</v>
      </c>
      <c r="AI17" s="1500">
        <f t="shared" si="5"/>
        <v>0</v>
      </c>
      <c r="AJ17" s="1500">
        <f t="shared" si="5"/>
        <v>0</v>
      </c>
      <c r="AK17" s="1500">
        <f t="shared" si="5"/>
        <v>0</v>
      </c>
      <c r="AL17" s="1500">
        <f t="shared" si="5"/>
        <v>0</v>
      </c>
      <c r="AM17" s="1500">
        <f t="shared" si="5"/>
        <v>0</v>
      </c>
      <c r="AN17" s="1500">
        <f t="shared" si="5"/>
        <v>0</v>
      </c>
      <c r="AO17" s="1500">
        <f t="shared" si="5"/>
        <v>0</v>
      </c>
      <c r="AP17" s="1500">
        <f t="shared" si="5"/>
        <v>0</v>
      </c>
      <c r="AQ17" s="1500"/>
      <c r="AR17" s="1500"/>
    </row>
    <row r="18" s="1511" customFormat="1" spans="1:44">
      <c r="A18" s="1520" t="s">
        <v>370</v>
      </c>
      <c r="B18" s="1500">
        <f t="shared" ref="B18:B20" si="6">MAX(C18:AR18)</f>
        <v>78605.3357415902</v>
      </c>
      <c r="C18" s="1500"/>
      <c r="D18" s="1500"/>
      <c r="E18" s="1500"/>
      <c r="F18" s="1500"/>
      <c r="G18" s="1500">
        <f t="shared" ref="G18:AR18" si="7">IF(($B$21+G9-G17)&lt;$B$21,($B$21+G9-G17),MIN(($B$21+G9-G17),$B$21+G13))</f>
        <v>56794.4790569208</v>
      </c>
      <c r="H18" s="1500">
        <f t="shared" si="7"/>
        <v>56794.4790569208</v>
      </c>
      <c r="I18" s="1500">
        <f t="shared" si="7"/>
        <v>56794.4790569208</v>
      </c>
      <c r="J18" s="1500">
        <f t="shared" si="7"/>
        <v>11321.9024017394</v>
      </c>
      <c r="K18" s="1500">
        <f t="shared" si="7"/>
        <v>9352.26448941511</v>
      </c>
      <c r="L18" s="1500">
        <f t="shared" si="7"/>
        <v>5914.26412898026</v>
      </c>
      <c r="M18" s="1500">
        <f t="shared" si="7"/>
        <v>1.81898940354586e-12</v>
      </c>
      <c r="N18" s="1500">
        <f t="shared" si="7"/>
        <v>5914.26412898026</v>
      </c>
      <c r="O18" s="1500">
        <f t="shared" si="7"/>
        <v>0</v>
      </c>
      <c r="P18" s="1500">
        <f t="shared" si="7"/>
        <v>14183.7873874003</v>
      </c>
      <c r="Q18" s="1500">
        <f t="shared" si="7"/>
        <v>30384.60803824</v>
      </c>
      <c r="R18" s="1500">
        <f t="shared" si="7"/>
        <v>41860.7412769803</v>
      </c>
      <c r="S18" s="1500">
        <f t="shared" si="7"/>
        <v>53047.1202951823</v>
      </c>
      <c r="T18" s="1500">
        <f t="shared" si="7"/>
        <v>65418.2255710416</v>
      </c>
      <c r="U18" s="1500">
        <f t="shared" si="7"/>
        <v>70552.9036465436</v>
      </c>
      <c r="V18" s="1500">
        <f t="shared" si="7"/>
        <v>72249.0078944702</v>
      </c>
      <c r="W18" s="1500">
        <f t="shared" si="7"/>
        <v>74739.6818079313</v>
      </c>
      <c r="X18" s="1500">
        <f t="shared" si="7"/>
        <v>74739.6818079313</v>
      </c>
      <c r="Y18" s="1500">
        <f t="shared" si="7"/>
        <v>78605.3357415902</v>
      </c>
      <c r="Z18" s="1500">
        <f t="shared" si="7"/>
        <v>78605.3357415902</v>
      </c>
      <c r="AA18" s="1500">
        <f t="shared" si="7"/>
        <v>78605.3357415902</v>
      </c>
      <c r="AB18" s="1500">
        <f t="shared" si="7"/>
        <v>78605.3357415902</v>
      </c>
      <c r="AC18" s="1500">
        <f t="shared" si="7"/>
        <v>78605.3357415902</v>
      </c>
      <c r="AD18" s="1500">
        <f t="shared" si="7"/>
        <v>78605.3357415902</v>
      </c>
      <c r="AE18" s="1500">
        <f t="shared" si="7"/>
        <v>78605.3357415902</v>
      </c>
      <c r="AF18" s="1500">
        <f t="shared" si="7"/>
        <v>78605.3357415902</v>
      </c>
      <c r="AG18" s="1500">
        <f t="shared" si="7"/>
        <v>78605.3357415902</v>
      </c>
      <c r="AH18" s="1500">
        <f t="shared" si="7"/>
        <v>78605.3357415902</v>
      </c>
      <c r="AI18" s="1500">
        <f t="shared" si="7"/>
        <v>78605.3357415902</v>
      </c>
      <c r="AJ18" s="1500">
        <f t="shared" si="7"/>
        <v>78605.3357415902</v>
      </c>
      <c r="AK18" s="1500">
        <f t="shared" si="7"/>
        <v>78605.3357415902</v>
      </c>
      <c r="AL18" s="1500">
        <f t="shared" si="7"/>
        <v>78605.3357415902</v>
      </c>
      <c r="AM18" s="1500">
        <f t="shared" si="7"/>
        <v>78605.3357415902</v>
      </c>
      <c r="AN18" s="1500">
        <f t="shared" si="7"/>
        <v>78605.3357415902</v>
      </c>
      <c r="AO18" s="1500">
        <f t="shared" si="7"/>
        <v>78605.3357415902</v>
      </c>
      <c r="AP18" s="1500">
        <f t="shared" si="7"/>
        <v>78605.3357415902</v>
      </c>
      <c r="AQ18" s="1500">
        <f t="shared" si="7"/>
        <v>78605.3357415902</v>
      </c>
      <c r="AR18" s="1500">
        <f t="shared" si="7"/>
        <v>78605.3357415902</v>
      </c>
    </row>
    <row r="19" s="1511" customFormat="1" spans="1:44">
      <c r="A19" s="1520" t="s">
        <v>371</v>
      </c>
      <c r="B19" s="1500">
        <f t="shared" si="6"/>
        <v>5452.71417116735</v>
      </c>
      <c r="C19" s="1500"/>
      <c r="D19" s="1500"/>
      <c r="E19" s="1500"/>
      <c r="F19" s="1500"/>
      <c r="G19" s="1500"/>
      <c r="H19" s="1500"/>
      <c r="I19" s="1500"/>
      <c r="J19" s="1500"/>
      <c r="K19" s="1500"/>
      <c r="L19" s="1500"/>
      <c r="M19" s="1500"/>
      <c r="N19" s="1500"/>
      <c r="O19" s="1500"/>
      <c r="P19" s="1500"/>
      <c r="Q19" s="1500"/>
      <c r="R19" s="1500"/>
      <c r="S19" s="1500"/>
      <c r="T19" s="1500"/>
      <c r="U19" s="1500"/>
      <c r="V19" s="1500"/>
      <c r="W19" s="1500"/>
      <c r="X19" s="1500"/>
      <c r="Y19" s="1500"/>
      <c r="Z19" s="1500"/>
      <c r="AA19" s="1500"/>
      <c r="AB19" s="1500"/>
      <c r="AC19" s="1500"/>
      <c r="AD19" s="1500"/>
      <c r="AE19" s="1500">
        <f>B11*20%*80%</f>
        <v>5452.71417116735</v>
      </c>
      <c r="AF19" s="1500"/>
      <c r="AG19" s="1500"/>
      <c r="AH19" s="1500"/>
      <c r="AI19" s="1500"/>
      <c r="AJ19" s="1500"/>
      <c r="AK19" s="1500"/>
      <c r="AL19" s="1500"/>
      <c r="AM19" s="1500"/>
      <c r="AN19" s="1500"/>
      <c r="AO19" s="1500"/>
      <c r="AP19" s="1500"/>
      <c r="AQ19" s="1500"/>
      <c r="AR19" s="1500"/>
    </row>
    <row r="20" s="1511" customFormat="1" spans="1:44">
      <c r="A20" s="1520" t="s">
        <v>372</v>
      </c>
      <c r="B20" s="1500">
        <f t="shared" si="6"/>
        <v>84058.0499127576</v>
      </c>
      <c r="C20" s="1500">
        <f>C18+SUM($C19:C19)</f>
        <v>0</v>
      </c>
      <c r="D20" s="1500">
        <f>D18+SUM($C19:D19)</f>
        <v>0</v>
      </c>
      <c r="E20" s="1500">
        <f>E18+SUM($C19:E19)</f>
        <v>0</v>
      </c>
      <c r="F20" s="1500">
        <f>F18+SUM($C19:F19)</f>
        <v>0</v>
      </c>
      <c r="G20" s="1500">
        <f>G18+SUM($C19:G19)</f>
        <v>56794.4790569208</v>
      </c>
      <c r="H20" s="1500">
        <f>H18+SUM($C19:H19)</f>
        <v>56794.4790569208</v>
      </c>
      <c r="I20" s="1500">
        <f>I18+SUM($C19:I19)</f>
        <v>56794.4790569208</v>
      </c>
      <c r="J20" s="1500">
        <f>J18+SUM($C19:J19)</f>
        <v>11321.9024017394</v>
      </c>
      <c r="K20" s="1500">
        <f>K18+SUM($C19:K19)</f>
        <v>9352.26448941511</v>
      </c>
      <c r="L20" s="1500">
        <f>L18+SUM($C19:L19)</f>
        <v>5914.26412898026</v>
      </c>
      <c r="M20" s="1500">
        <f>M18+SUM($C19:M19)</f>
        <v>1.81898940354586e-12</v>
      </c>
      <c r="N20" s="1500">
        <f>N18+SUM($C19:N19)</f>
        <v>5914.26412898026</v>
      </c>
      <c r="O20" s="1500">
        <f>O18+SUM($C19:O19)</f>
        <v>0</v>
      </c>
      <c r="P20" s="1500">
        <f>P18+SUM($C19:P19)</f>
        <v>14183.7873874003</v>
      </c>
      <c r="Q20" s="1500">
        <f>Q18+SUM($C19:Q19)</f>
        <v>30384.60803824</v>
      </c>
      <c r="R20" s="1500">
        <f>R18+SUM($C19:R19)</f>
        <v>41860.7412769803</v>
      </c>
      <c r="S20" s="1500">
        <f>S18+SUM($C19:S19)</f>
        <v>53047.1202951823</v>
      </c>
      <c r="T20" s="1500">
        <f>T18+SUM($C19:T19)</f>
        <v>65418.2255710416</v>
      </c>
      <c r="U20" s="1500">
        <f>U18+SUM($C19:U19)</f>
        <v>70552.9036465436</v>
      </c>
      <c r="V20" s="1500">
        <f>V18+SUM($C19:V19)</f>
        <v>72249.0078944702</v>
      </c>
      <c r="W20" s="1500">
        <f>W18+SUM($C19:W19)</f>
        <v>74739.6818079313</v>
      </c>
      <c r="X20" s="1500">
        <f>X18+SUM($C19:X19)</f>
        <v>74739.6818079313</v>
      </c>
      <c r="Y20" s="1500">
        <f>Y18+SUM($C19:Y19)</f>
        <v>78605.3357415902</v>
      </c>
      <c r="Z20" s="1500">
        <f>Z18+SUM($C19:Z19)</f>
        <v>78605.3357415902</v>
      </c>
      <c r="AA20" s="1500">
        <f>AA18+SUM($C19:AA19)</f>
        <v>78605.3357415902</v>
      </c>
      <c r="AB20" s="1500">
        <f>AB18+SUM($C19:AB19)</f>
        <v>78605.3357415902</v>
      </c>
      <c r="AC20" s="1500">
        <f>AC18+SUM($C19:AC19)</f>
        <v>78605.3357415902</v>
      </c>
      <c r="AD20" s="1500">
        <f>AD18+SUM($C19:AD19)</f>
        <v>78605.3357415902</v>
      </c>
      <c r="AE20" s="1500">
        <f>AE18+SUM($C19:AE19)</f>
        <v>84058.0499127576</v>
      </c>
      <c r="AF20" s="1500">
        <f>AF18+SUM($C19:AF19)</f>
        <v>84058.0499127576</v>
      </c>
      <c r="AG20" s="1500">
        <f>AG18+SUM($C19:AG19)</f>
        <v>84058.0499127576</v>
      </c>
      <c r="AH20" s="1500">
        <f>AH18+SUM($C19:AH19)</f>
        <v>84058.0499127576</v>
      </c>
      <c r="AI20" s="1500">
        <f>AI18+SUM($C19:AI19)</f>
        <v>84058.0499127576</v>
      </c>
      <c r="AJ20" s="1500">
        <f>AJ18+SUM($C19:AJ19)</f>
        <v>84058.0499127576</v>
      </c>
      <c r="AK20" s="1500">
        <f>AK18+SUM($C19:AK19)</f>
        <v>84058.0499127576</v>
      </c>
      <c r="AL20" s="1500">
        <f>AL18+SUM($C19:AL19)</f>
        <v>84058.0499127576</v>
      </c>
      <c r="AM20" s="1500">
        <f>AM18+SUM($C19:AM19)</f>
        <v>84058.0499127576</v>
      </c>
      <c r="AN20" s="1500">
        <f>AN18+SUM($C19:AN19)</f>
        <v>84058.0499127576</v>
      </c>
      <c r="AO20" s="1500">
        <f>AO18+SUM($C19:AO19)</f>
        <v>84058.0499127576</v>
      </c>
      <c r="AP20" s="1500">
        <f>AP18+SUM($C19:AP19)</f>
        <v>84058.0499127576</v>
      </c>
      <c r="AQ20" s="1500">
        <f>AQ18+SUM($C19:AQ19)</f>
        <v>84058.0499127576</v>
      </c>
      <c r="AR20" s="1500">
        <f>AR18+SUM($C19:AR19)</f>
        <v>84058.0499127576</v>
      </c>
    </row>
    <row r="21" s="1511" customFormat="1" ht="15.75" customHeight="1" spans="1:4">
      <c r="A21" s="1516" t="s">
        <v>373</v>
      </c>
      <c r="B21" s="1500">
        <f>-(MIN($C$9:$AR$9))</f>
        <v>56794.4790569208</v>
      </c>
      <c r="C21" s="1522">
        <f>B21+B11*80%-B20</f>
        <v>0</v>
      </c>
      <c r="D21" s="1448"/>
    </row>
    <row r="22" s="1511" customFormat="1" spans="1:7">
      <c r="A22" s="1516" t="s">
        <v>374</v>
      </c>
      <c r="B22" s="1523">
        <v>0.05</v>
      </c>
      <c r="D22" s="1448"/>
      <c r="E22" s="1524"/>
      <c r="F22" s="1525"/>
      <c r="G22" s="1526"/>
    </row>
    <row r="23" s="1511" customFormat="1" spans="1:7">
      <c r="A23" s="1516" t="s">
        <v>375</v>
      </c>
      <c r="B23" s="1523">
        <f>B22*2</f>
        <v>0.1</v>
      </c>
      <c r="D23" s="1448"/>
      <c r="E23" s="1524"/>
      <c r="F23" s="1522"/>
      <c r="G23" s="1524"/>
    </row>
    <row r="24" s="1511" customFormat="1" spans="1:3">
      <c r="A24" s="1479"/>
      <c r="B24" s="1522"/>
      <c r="C24" s="1522"/>
    </row>
    <row r="25" s="1510" customFormat="1" ht="15.75" customHeight="1" spans="1:44">
      <c r="A25" s="1527" t="s">
        <v>376</v>
      </c>
      <c r="B25" s="1517"/>
      <c r="C25" s="1451" t="s">
        <v>290</v>
      </c>
      <c r="D25" s="1451" t="s">
        <v>290</v>
      </c>
      <c r="E25" s="1451" t="s">
        <v>291</v>
      </c>
      <c r="F25" s="1451" t="s">
        <v>291</v>
      </c>
      <c r="G25" s="1451" t="s">
        <v>291</v>
      </c>
      <c r="H25" s="1451" t="s">
        <v>291</v>
      </c>
      <c r="I25" s="1451" t="s">
        <v>292</v>
      </c>
      <c r="J25" s="1451" t="s">
        <v>292</v>
      </c>
      <c r="K25" s="1451" t="s">
        <v>292</v>
      </c>
      <c r="L25" s="1451" t="s">
        <v>292</v>
      </c>
      <c r="M25" s="1451" t="s">
        <v>293</v>
      </c>
      <c r="N25" s="1451" t="s">
        <v>293</v>
      </c>
      <c r="O25" s="1451" t="s">
        <v>293</v>
      </c>
      <c r="P25" s="1451" t="s">
        <v>293</v>
      </c>
      <c r="Q25" s="1451" t="s">
        <v>294</v>
      </c>
      <c r="R25" s="1451" t="s">
        <v>294</v>
      </c>
      <c r="S25" s="1451" t="s">
        <v>294</v>
      </c>
      <c r="T25" s="1451" t="s">
        <v>294</v>
      </c>
      <c r="U25" s="1451" t="s">
        <v>295</v>
      </c>
      <c r="V25" s="1451" t="s">
        <v>295</v>
      </c>
      <c r="W25" s="1451" t="s">
        <v>295</v>
      </c>
      <c r="X25" s="1451" t="s">
        <v>295</v>
      </c>
      <c r="Y25" s="1451" t="s">
        <v>296</v>
      </c>
      <c r="Z25" s="1451" t="s">
        <v>296</v>
      </c>
      <c r="AA25" s="1451" t="s">
        <v>296</v>
      </c>
      <c r="AB25" s="1451" t="s">
        <v>296</v>
      </c>
      <c r="AC25" s="1451" t="s">
        <v>297</v>
      </c>
      <c r="AD25" s="1451" t="s">
        <v>297</v>
      </c>
      <c r="AE25" s="1451" t="s">
        <v>297</v>
      </c>
      <c r="AF25" s="1451" t="s">
        <v>297</v>
      </c>
      <c r="AG25" s="1451" t="s">
        <v>298</v>
      </c>
      <c r="AH25" s="1451" t="s">
        <v>298</v>
      </c>
      <c r="AI25" s="1451" t="s">
        <v>298</v>
      </c>
      <c r="AJ25" s="1451" t="s">
        <v>298</v>
      </c>
      <c r="AK25" s="1451" t="s">
        <v>299</v>
      </c>
      <c r="AL25" s="1451" t="s">
        <v>299</v>
      </c>
      <c r="AM25" s="1451" t="s">
        <v>299</v>
      </c>
      <c r="AN25" s="1451" t="s">
        <v>299</v>
      </c>
      <c r="AO25" s="1451" t="s">
        <v>300</v>
      </c>
      <c r="AP25" s="1451" t="s">
        <v>300</v>
      </c>
      <c r="AQ25" s="1451" t="s">
        <v>300</v>
      </c>
      <c r="AR25" s="1451" t="s">
        <v>300</v>
      </c>
    </row>
    <row r="26" s="1510" customFormat="1" spans="1:44">
      <c r="A26" s="1528"/>
      <c r="B26" s="1519" t="s">
        <v>2</v>
      </c>
      <c r="C26" s="1454" t="s">
        <v>119</v>
      </c>
      <c r="D26" s="1454" t="s">
        <v>120</v>
      </c>
      <c r="E26" s="1454" t="s">
        <v>121</v>
      </c>
      <c r="F26" s="1454" t="s">
        <v>122</v>
      </c>
      <c r="G26" s="1454" t="s">
        <v>123</v>
      </c>
      <c r="H26" s="1454" t="s">
        <v>124</v>
      </c>
      <c r="I26" s="1454" t="s">
        <v>125</v>
      </c>
      <c r="J26" s="1454" t="s">
        <v>126</v>
      </c>
      <c r="K26" s="1454" t="s">
        <v>127</v>
      </c>
      <c r="L26" s="1454" t="s">
        <v>128</v>
      </c>
      <c r="M26" s="1454" t="s">
        <v>129</v>
      </c>
      <c r="N26" s="1454" t="s">
        <v>130</v>
      </c>
      <c r="O26" s="1454" t="s">
        <v>131</v>
      </c>
      <c r="P26" s="1454" t="s">
        <v>132</v>
      </c>
      <c r="Q26" s="1454" t="s">
        <v>133</v>
      </c>
      <c r="R26" s="1454" t="s">
        <v>134</v>
      </c>
      <c r="S26" s="1454" t="s">
        <v>135</v>
      </c>
      <c r="T26" s="1454" t="s">
        <v>136</v>
      </c>
      <c r="U26" s="1454" t="s">
        <v>137</v>
      </c>
      <c r="V26" s="1454" t="s">
        <v>138</v>
      </c>
      <c r="W26" s="1454" t="s">
        <v>302</v>
      </c>
      <c r="X26" s="1454" t="s">
        <v>303</v>
      </c>
      <c r="Y26" s="1454" t="s">
        <v>271</v>
      </c>
      <c r="Z26" s="1454" t="s">
        <v>264</v>
      </c>
      <c r="AA26" s="1454" t="s">
        <v>304</v>
      </c>
      <c r="AB26" s="1454" t="s">
        <v>305</v>
      </c>
      <c r="AC26" s="1454" t="s">
        <v>306</v>
      </c>
      <c r="AD26" s="1454" t="s">
        <v>307</v>
      </c>
      <c r="AE26" s="1454" t="s">
        <v>308</v>
      </c>
      <c r="AF26" s="1454" t="s">
        <v>309</v>
      </c>
      <c r="AG26" s="1454" t="s">
        <v>310</v>
      </c>
      <c r="AH26" s="1454" t="s">
        <v>311</v>
      </c>
      <c r="AI26" s="1454" t="s">
        <v>312</v>
      </c>
      <c r="AJ26" s="1454" t="s">
        <v>313</v>
      </c>
      <c r="AK26" s="1454" t="s">
        <v>314</v>
      </c>
      <c r="AL26" s="1454" t="s">
        <v>315</v>
      </c>
      <c r="AM26" s="1454" t="s">
        <v>316</v>
      </c>
      <c r="AN26" s="1454" t="s">
        <v>317</v>
      </c>
      <c r="AO26" s="1454" t="s">
        <v>318</v>
      </c>
      <c r="AP26" s="1454" t="s">
        <v>319</v>
      </c>
      <c r="AQ26" s="1454" t="s">
        <v>320</v>
      </c>
      <c r="AR26" s="1454" t="s">
        <v>321</v>
      </c>
    </row>
    <row r="27" s="1511" customFormat="1" spans="1:44">
      <c r="A27" s="1529" t="s">
        <v>377</v>
      </c>
      <c r="B27" s="1500">
        <f t="shared" ref="B27:B34" si="8">SUM(C27:AR27)</f>
        <v>-1419.86197642302</v>
      </c>
      <c r="C27" s="1530"/>
      <c r="D27" s="1530"/>
      <c r="E27" s="1530"/>
      <c r="F27" s="1530"/>
      <c r="G27" s="1530"/>
      <c r="H27" s="1530"/>
      <c r="I27" s="1530"/>
      <c r="J27" s="1535"/>
      <c r="K27" s="1530"/>
      <c r="L27" s="1530">
        <f>-B21*B22*50%</f>
        <v>-1419.86197642302</v>
      </c>
      <c r="M27" s="1530"/>
      <c r="N27" s="1530"/>
      <c r="O27" s="1530"/>
      <c r="P27" s="1530"/>
      <c r="Q27" s="1530"/>
      <c r="R27" s="1530"/>
      <c r="S27" s="1530"/>
      <c r="T27" s="1530"/>
      <c r="U27" s="1530"/>
      <c r="V27" s="1530"/>
      <c r="W27" s="1530"/>
      <c r="X27" s="1530"/>
      <c r="Y27" s="1530"/>
      <c r="Z27" s="1530"/>
      <c r="AA27" s="1530"/>
      <c r="AB27" s="1530"/>
      <c r="AC27" s="1530"/>
      <c r="AD27" s="1536"/>
      <c r="AE27" s="1536"/>
      <c r="AF27" s="1536"/>
      <c r="AG27" s="1536"/>
      <c r="AH27" s="1536"/>
      <c r="AI27" s="1530"/>
      <c r="AJ27" s="1536"/>
      <c r="AK27" s="1536"/>
      <c r="AL27" s="1536"/>
      <c r="AM27" s="1536"/>
      <c r="AN27" s="1536"/>
      <c r="AO27" s="1536"/>
      <c r="AP27" s="1536"/>
      <c r="AQ27" s="1536"/>
      <c r="AR27" s="1536"/>
    </row>
    <row r="28" s="1511" customFormat="1" spans="1:44">
      <c r="A28" s="1529" t="s">
        <v>378</v>
      </c>
      <c r="B28" s="1500">
        <f t="shared" si="8"/>
        <v>0</v>
      </c>
      <c r="C28" s="1530"/>
      <c r="D28" s="1530"/>
      <c r="E28" s="1530"/>
      <c r="F28" s="1530"/>
      <c r="G28" s="1530"/>
      <c r="H28" s="1530"/>
      <c r="I28" s="1530"/>
      <c r="J28" s="1530"/>
      <c r="K28" s="1530"/>
      <c r="L28" s="1530"/>
      <c r="M28" s="1530"/>
      <c r="N28" s="1530"/>
      <c r="O28" s="1530"/>
      <c r="P28" s="1530"/>
      <c r="Q28" s="1530"/>
      <c r="R28" s="1530"/>
      <c r="S28" s="1530"/>
      <c r="T28" s="1530"/>
      <c r="U28" s="1530"/>
      <c r="V28" s="1530"/>
      <c r="W28" s="1530"/>
      <c r="X28" s="1530"/>
      <c r="Y28" s="1530"/>
      <c r="Z28" s="1530"/>
      <c r="AA28" s="1530"/>
      <c r="AB28" s="1530"/>
      <c r="AC28" s="1530"/>
      <c r="AD28" s="1536"/>
      <c r="AE28" s="1536"/>
      <c r="AF28" s="1536"/>
      <c r="AG28" s="1536"/>
      <c r="AH28" s="1536"/>
      <c r="AI28" s="1530"/>
      <c r="AJ28" s="1536"/>
      <c r="AK28" s="1536"/>
      <c r="AL28" s="1536"/>
      <c r="AM28" s="1536"/>
      <c r="AN28" s="1536"/>
      <c r="AO28" s="1536"/>
      <c r="AP28" s="1536"/>
      <c r="AQ28" s="1536"/>
      <c r="AR28" s="1536"/>
    </row>
    <row r="29" s="1511" customFormat="1" spans="1:44">
      <c r="A29" s="1529" t="s">
        <v>379</v>
      </c>
      <c r="B29" s="1500">
        <f t="shared" si="8"/>
        <v>0</v>
      </c>
      <c r="C29" s="1530"/>
      <c r="D29" s="1530"/>
      <c r="E29" s="1530"/>
      <c r="F29" s="1530">
        <f>C27+C28</f>
        <v>0</v>
      </c>
      <c r="G29" s="1530"/>
      <c r="H29" s="1530"/>
      <c r="I29" s="1530"/>
      <c r="J29" s="1530"/>
      <c r="K29" s="1530"/>
      <c r="L29" s="1530"/>
      <c r="M29" s="1530"/>
      <c r="N29" s="1530"/>
      <c r="O29" s="1530"/>
      <c r="P29" s="1530"/>
      <c r="Q29" s="1530"/>
      <c r="R29" s="1530"/>
      <c r="S29" s="1530"/>
      <c r="T29" s="1530"/>
      <c r="U29" s="1530"/>
      <c r="V29" s="1530"/>
      <c r="W29" s="1530"/>
      <c r="X29" s="1530"/>
      <c r="Y29" s="1530"/>
      <c r="Z29" s="1530"/>
      <c r="AA29" s="1530"/>
      <c r="AB29" s="1530"/>
      <c r="AC29" s="1530"/>
      <c r="AD29" s="1536"/>
      <c r="AE29" s="1536"/>
      <c r="AF29" s="1536"/>
      <c r="AG29" s="1536"/>
      <c r="AH29" s="1536"/>
      <c r="AI29" s="1530"/>
      <c r="AJ29" s="1536"/>
      <c r="AK29" s="1536"/>
      <c r="AL29" s="1536"/>
      <c r="AM29" s="1536"/>
      <c r="AN29" s="1536"/>
      <c r="AO29" s="1536"/>
      <c r="AP29" s="1536"/>
      <c r="AQ29" s="1536"/>
      <c r="AR29" s="1536"/>
    </row>
    <row r="30" s="1511" customFormat="1" spans="1:44">
      <c r="A30" s="1529" t="s">
        <v>380</v>
      </c>
      <c r="B30" s="1500">
        <f t="shared" si="8"/>
        <v>0</v>
      </c>
      <c r="C30" s="1530"/>
      <c r="D30" s="1530"/>
      <c r="E30" s="1530"/>
      <c r="F30" s="1530">
        <f>F29*6%</f>
        <v>0</v>
      </c>
      <c r="G30" s="1530"/>
      <c r="H30" s="1530"/>
      <c r="I30" s="1530"/>
      <c r="J30" s="1530"/>
      <c r="K30" s="1530"/>
      <c r="L30" s="1530"/>
      <c r="M30" s="1530"/>
      <c r="N30" s="1530"/>
      <c r="O30" s="1530"/>
      <c r="P30" s="1530"/>
      <c r="Q30" s="1530"/>
      <c r="R30" s="1530"/>
      <c r="S30" s="1530"/>
      <c r="T30" s="1530"/>
      <c r="U30" s="1530"/>
      <c r="V30" s="1530"/>
      <c r="W30" s="1530"/>
      <c r="X30" s="1530"/>
      <c r="Y30" s="1530"/>
      <c r="Z30" s="1530"/>
      <c r="AA30" s="1530"/>
      <c r="AB30" s="1530"/>
      <c r="AC30" s="1530"/>
      <c r="AD30" s="1536"/>
      <c r="AE30" s="1536"/>
      <c r="AF30" s="1536"/>
      <c r="AG30" s="1536"/>
      <c r="AH30" s="1536"/>
      <c r="AI30" s="1530"/>
      <c r="AJ30" s="1536"/>
      <c r="AK30" s="1536"/>
      <c r="AL30" s="1536"/>
      <c r="AM30" s="1536"/>
      <c r="AN30" s="1536"/>
      <c r="AO30" s="1536"/>
      <c r="AP30" s="1536"/>
      <c r="AQ30" s="1536"/>
      <c r="AR30" s="1536"/>
    </row>
    <row r="31" s="1511" customFormat="1" spans="1:44">
      <c r="A31" s="1521" t="s">
        <v>381</v>
      </c>
      <c r="B31" s="1531">
        <f t="shared" si="8"/>
        <v>3356.94557248527</v>
      </c>
      <c r="C31" s="1531">
        <f>C20*$B$22</f>
        <v>0</v>
      </c>
      <c r="D31" s="1531">
        <f>D20*$B$22-SUM($C$31:C31)</f>
        <v>0</v>
      </c>
      <c r="E31" s="1531">
        <f>E20*$B$22-SUM($C$31:D31)</f>
        <v>0</v>
      </c>
      <c r="F31" s="1531">
        <f>F20*$B$22-SUM($C$31:E31)</f>
        <v>0</v>
      </c>
      <c r="G31" s="1532"/>
      <c r="H31" s="1532"/>
      <c r="I31" s="1531"/>
      <c r="J31" s="1531">
        <f>-F27</f>
        <v>0</v>
      </c>
      <c r="K31" s="1531"/>
      <c r="L31" s="1531"/>
      <c r="M31" s="1531">
        <f>-H27</f>
        <v>0</v>
      </c>
      <c r="N31" s="1531"/>
      <c r="O31" s="1531">
        <f>-L27</f>
        <v>1419.86197642302</v>
      </c>
      <c r="P31" s="1531"/>
      <c r="Q31" s="1531">
        <f>-N27</f>
        <v>0</v>
      </c>
      <c r="R31" s="1531"/>
      <c r="S31" s="1531">
        <f>30%*B22*(经济指标!D18+经济指标!M4*75%)</f>
        <v>581.125078818675</v>
      </c>
      <c r="T31" s="1531"/>
      <c r="U31" s="1531">
        <f>30%*B22*(经济指标!D18+经济指标!M4*75%)</f>
        <v>581.125078818675</v>
      </c>
      <c r="V31" s="1531"/>
      <c r="W31" s="1531">
        <f>20%*B22*(经济指标!D18+经济指标!M4*75%)</f>
        <v>387.41671921245</v>
      </c>
      <c r="X31" s="1531"/>
      <c r="Y31" s="1531">
        <f>20%*B22*(经济指标!D18+经济指标!M4*75%)</f>
        <v>387.41671921245</v>
      </c>
      <c r="Z31" s="1531"/>
      <c r="AA31" s="1531"/>
      <c r="AB31" s="1531"/>
      <c r="AC31" s="1531"/>
      <c r="AD31" s="1531"/>
      <c r="AE31" s="1531"/>
      <c r="AF31" s="1531"/>
      <c r="AG31" s="1531"/>
      <c r="AH31" s="1531"/>
      <c r="AI31" s="1531"/>
      <c r="AJ31" s="1531"/>
      <c r="AK31" s="1531"/>
      <c r="AL31" s="1531"/>
      <c r="AM31" s="1531"/>
      <c r="AN31" s="1531"/>
      <c r="AO31" s="1531"/>
      <c r="AP31" s="1531"/>
      <c r="AQ31" s="1531"/>
      <c r="AR31" s="1531"/>
    </row>
    <row r="32" s="1511" customFormat="1" spans="1:44">
      <c r="A32" s="1521" t="s">
        <v>382</v>
      </c>
      <c r="B32" s="1500">
        <f t="shared" si="8"/>
        <v>8405.80499127576</v>
      </c>
      <c r="C32" s="1500">
        <f>C20*$B$23</f>
        <v>0</v>
      </c>
      <c r="D32" s="1500">
        <f>D20*$B$23-SUM($C$32:C32)</f>
        <v>0</v>
      </c>
      <c r="E32" s="1500">
        <f>E20*$B$23-SUM($C$32:D32)</f>
        <v>0</v>
      </c>
      <c r="F32" s="1500">
        <f>F20*$B$23-SUM($C$32:E32)</f>
        <v>0</v>
      </c>
      <c r="G32" s="1500">
        <f>G20*$B$23-SUM($C$32:F32)</f>
        <v>5679.44790569208</v>
      </c>
      <c r="H32" s="1500">
        <f>H20*$B$23-SUM($C$32:G32)</f>
        <v>0</v>
      </c>
      <c r="I32" s="1500">
        <f>I20*$B$23-SUM($C$32:H32)</f>
        <v>0</v>
      </c>
      <c r="J32" s="1500">
        <f>J20*$B$23-SUM($C$32:I32)</f>
        <v>-4547.25766551814</v>
      </c>
      <c r="K32" s="1500">
        <f>K20*$B$23-SUM($C$32:J32)</f>
        <v>-196.963791232427</v>
      </c>
      <c r="L32" s="1500">
        <f>L20*$B$23-SUM($C$32:K32)</f>
        <v>-343.800036043485</v>
      </c>
      <c r="M32" s="1500">
        <f>M20*$B$23-SUM($C$32:L32)</f>
        <v>-591.426412898025</v>
      </c>
      <c r="N32" s="1500">
        <f>N20*$B$23-SUM($C$32:M32)</f>
        <v>591.426412898026</v>
      </c>
      <c r="O32" s="1500">
        <f>O20*$B$23-SUM($C$32:N32)</f>
        <v>-591.426412898026</v>
      </c>
      <c r="P32" s="1500">
        <f>P20*$B$23-SUM($C$32:O32)</f>
        <v>1418.37873874003</v>
      </c>
      <c r="Q32" s="1500">
        <f>Q20*$B$23-SUM($C$32:P32)</f>
        <v>1620.08206508396</v>
      </c>
      <c r="R32" s="1500">
        <f>R20*$B$23-SUM($C$32:Q32)</f>
        <v>1147.61332387404</v>
      </c>
      <c r="S32" s="1500">
        <f>S20*$B$23-SUM($C$32:R32)</f>
        <v>1118.6379018202</v>
      </c>
      <c r="T32" s="1500">
        <f>T20*$B$23-SUM($C$32:S32)</f>
        <v>1237.11052758593</v>
      </c>
      <c r="U32" s="1500">
        <f>U20*$B$23-SUM($C$32:T32)</f>
        <v>513.467807550203</v>
      </c>
      <c r="V32" s="1500">
        <f>V20*$B$23-SUM($C$32:U32)</f>
        <v>169.610424792661</v>
      </c>
      <c r="W32" s="1500">
        <f>W20*$B$23-SUM($C$32:V32)</f>
        <v>249.067391346109</v>
      </c>
      <c r="X32" s="1500">
        <f>X20*$B$23-SUM($C$32:W32)</f>
        <v>0</v>
      </c>
      <c r="Y32" s="1500">
        <f>Y20*$B$23-SUM($C$32:X32)</f>
        <v>386.565393365891</v>
      </c>
      <c r="Z32" s="1500">
        <f>Z20*$B$23-SUM($C$32:Y32)</f>
        <v>0</v>
      </c>
      <c r="AA32" s="1500">
        <f>AA20*$B$23-SUM($C$32:Z32)</f>
        <v>0</v>
      </c>
      <c r="AB32" s="1500">
        <f>AB20*$B$23-SUM($C$32:AA32)</f>
        <v>0</v>
      </c>
      <c r="AC32" s="1500">
        <f>AC20*$B$23-SUM($C$32:AB32)</f>
        <v>0</v>
      </c>
      <c r="AD32" s="1500">
        <f>AD20*$B$23-SUM($C$32:AC32)</f>
        <v>0</v>
      </c>
      <c r="AE32" s="1500">
        <f>AE20*$B$23-SUM($C$32:AD32)</f>
        <v>545.271417116734</v>
      </c>
      <c r="AF32" s="1500">
        <f>AF20*$B$23-SUM($C$32:AE32)</f>
        <v>0</v>
      </c>
      <c r="AG32" s="1500">
        <f>AG20*$B$23-SUM($C$32:AF32)</f>
        <v>0</v>
      </c>
      <c r="AH32" s="1500">
        <f>AH20*$B$23-SUM($C$32:AG32)</f>
        <v>0</v>
      </c>
      <c r="AI32" s="1500">
        <f>AI20*$B$23-SUM($C$32:AH32)</f>
        <v>0</v>
      </c>
      <c r="AJ32" s="1500">
        <f>AJ20*$B$23-SUM($C$32:AI32)</f>
        <v>0</v>
      </c>
      <c r="AK32" s="1500">
        <f>AK20*$B$23-SUM($C$32:AJ32)</f>
        <v>0</v>
      </c>
      <c r="AL32" s="1500">
        <f>AL20*$B$23-SUM($C$32:AK32)</f>
        <v>0</v>
      </c>
      <c r="AM32" s="1500">
        <f>AM20*$B$23-SUM($C$32:AL32)</f>
        <v>0</v>
      </c>
      <c r="AN32" s="1500">
        <f>AN20*$B$23-SUM($C$32:AM32)</f>
        <v>0</v>
      </c>
      <c r="AO32" s="1500">
        <f>AO20*$B$23-SUM($C$32:AN32)</f>
        <v>0</v>
      </c>
      <c r="AP32" s="1500">
        <f>AP20*$B$23-SUM($C$32:AO32)</f>
        <v>0</v>
      </c>
      <c r="AQ32" s="1500">
        <f>AQ20*$B$23-SUM($C$32:AP32)</f>
        <v>0</v>
      </c>
      <c r="AR32" s="1500">
        <f>AR20*$B$23-SUM($C$32:AQ32)</f>
        <v>0</v>
      </c>
    </row>
    <row r="33" s="1448" customFormat="1" spans="1:44">
      <c r="A33" s="1520" t="s">
        <v>383</v>
      </c>
      <c r="B33" s="1531">
        <f t="shared" si="8"/>
        <v>1937.08359606225</v>
      </c>
      <c r="C33" s="1531">
        <f>-C27-C28+C31</f>
        <v>0</v>
      </c>
      <c r="D33" s="1531">
        <f t="shared" ref="D33:AR33" si="9">-D27-D28+D31</f>
        <v>0</v>
      </c>
      <c r="E33" s="1531">
        <f t="shared" si="9"/>
        <v>0</v>
      </c>
      <c r="F33" s="1531">
        <f>F27-F28+F31</f>
        <v>0</v>
      </c>
      <c r="G33" s="1531">
        <f t="shared" si="9"/>
        <v>0</v>
      </c>
      <c r="H33" s="1531">
        <f>H27-H28+H31</f>
        <v>0</v>
      </c>
      <c r="I33" s="1531">
        <f t="shared" ref="I33:AI33" si="10">I27-I28+I31</f>
        <v>0</v>
      </c>
      <c r="J33" s="1531">
        <f t="shared" si="10"/>
        <v>0</v>
      </c>
      <c r="K33" s="1531">
        <f t="shared" si="10"/>
        <v>0</v>
      </c>
      <c r="L33" s="1531">
        <f t="shared" si="10"/>
        <v>-1419.86197642302</v>
      </c>
      <c r="M33" s="1531">
        <f t="shared" si="10"/>
        <v>0</v>
      </c>
      <c r="N33" s="1531">
        <f t="shared" si="10"/>
        <v>0</v>
      </c>
      <c r="O33" s="1531">
        <f t="shared" si="10"/>
        <v>1419.86197642302</v>
      </c>
      <c r="P33" s="1531">
        <f t="shared" si="10"/>
        <v>0</v>
      </c>
      <c r="Q33" s="1531">
        <f t="shared" si="10"/>
        <v>0</v>
      </c>
      <c r="R33" s="1531">
        <f t="shared" si="10"/>
        <v>0</v>
      </c>
      <c r="S33" s="1531">
        <f t="shared" si="10"/>
        <v>581.125078818675</v>
      </c>
      <c r="T33" s="1531">
        <f t="shared" si="10"/>
        <v>0</v>
      </c>
      <c r="U33" s="1531">
        <f t="shared" si="10"/>
        <v>581.125078818675</v>
      </c>
      <c r="V33" s="1531">
        <f t="shared" si="10"/>
        <v>0</v>
      </c>
      <c r="W33" s="1531">
        <f t="shared" si="10"/>
        <v>387.41671921245</v>
      </c>
      <c r="X33" s="1531">
        <f t="shared" si="10"/>
        <v>0</v>
      </c>
      <c r="Y33" s="1531">
        <f t="shared" si="10"/>
        <v>387.41671921245</v>
      </c>
      <c r="Z33" s="1531">
        <f t="shared" si="10"/>
        <v>0</v>
      </c>
      <c r="AA33" s="1531">
        <f t="shared" si="10"/>
        <v>0</v>
      </c>
      <c r="AB33" s="1531">
        <f t="shared" si="10"/>
        <v>0</v>
      </c>
      <c r="AC33" s="1531">
        <f t="shared" si="10"/>
        <v>0</v>
      </c>
      <c r="AD33" s="1531">
        <f t="shared" si="10"/>
        <v>0</v>
      </c>
      <c r="AE33" s="1531">
        <f t="shared" si="10"/>
        <v>0</v>
      </c>
      <c r="AF33" s="1531">
        <f t="shared" si="10"/>
        <v>0</v>
      </c>
      <c r="AG33" s="1531">
        <f t="shared" si="10"/>
        <v>0</v>
      </c>
      <c r="AH33" s="1531">
        <f t="shared" si="10"/>
        <v>0</v>
      </c>
      <c r="AI33" s="1531">
        <f t="shared" si="10"/>
        <v>0</v>
      </c>
      <c r="AJ33" s="1531">
        <f t="shared" si="9"/>
        <v>0</v>
      </c>
      <c r="AK33" s="1531">
        <f t="shared" si="9"/>
        <v>0</v>
      </c>
      <c r="AL33" s="1531">
        <f t="shared" si="9"/>
        <v>0</v>
      </c>
      <c r="AM33" s="1531">
        <f t="shared" si="9"/>
        <v>0</v>
      </c>
      <c r="AN33" s="1531">
        <f t="shared" si="9"/>
        <v>0</v>
      </c>
      <c r="AO33" s="1531">
        <f t="shared" si="9"/>
        <v>0</v>
      </c>
      <c r="AP33" s="1531">
        <f t="shared" si="9"/>
        <v>0</v>
      </c>
      <c r="AQ33" s="1531">
        <f t="shared" si="9"/>
        <v>0</v>
      </c>
      <c r="AR33" s="1531">
        <f t="shared" si="9"/>
        <v>0</v>
      </c>
    </row>
    <row r="34" s="1448" customFormat="1" spans="1:44">
      <c r="A34" s="1520" t="s">
        <v>384</v>
      </c>
      <c r="B34" s="1500">
        <f t="shared" si="8"/>
        <v>9825.66696769878</v>
      </c>
      <c r="C34" s="1500">
        <f>-C27-C28-C29-C30+C32</f>
        <v>0</v>
      </c>
      <c r="D34" s="1500">
        <f t="shared" ref="D34:AR34" si="11">-D27-D28-D29-D30+D32</f>
        <v>0</v>
      </c>
      <c r="E34" s="1500">
        <f t="shared" si="11"/>
        <v>0</v>
      </c>
      <c r="F34" s="1500">
        <f t="shared" si="11"/>
        <v>0</v>
      </c>
      <c r="G34" s="1500">
        <f t="shared" si="11"/>
        <v>5679.44790569208</v>
      </c>
      <c r="H34" s="1500">
        <f t="shared" si="11"/>
        <v>0</v>
      </c>
      <c r="I34" s="1500">
        <f t="shared" si="11"/>
        <v>0</v>
      </c>
      <c r="J34" s="1500">
        <f t="shared" si="11"/>
        <v>-4547.25766551814</v>
      </c>
      <c r="K34" s="1500">
        <f t="shared" si="11"/>
        <v>-196.963791232427</v>
      </c>
      <c r="L34" s="1500">
        <f t="shared" si="11"/>
        <v>1076.06194037954</v>
      </c>
      <c r="M34" s="1500">
        <f t="shared" si="11"/>
        <v>-591.426412898025</v>
      </c>
      <c r="N34" s="1500">
        <f t="shared" si="11"/>
        <v>591.426412898026</v>
      </c>
      <c r="O34" s="1500">
        <f t="shared" si="11"/>
        <v>-591.426412898026</v>
      </c>
      <c r="P34" s="1500">
        <f t="shared" si="11"/>
        <v>1418.37873874003</v>
      </c>
      <c r="Q34" s="1500">
        <f t="shared" si="11"/>
        <v>1620.08206508396</v>
      </c>
      <c r="R34" s="1500">
        <f t="shared" si="11"/>
        <v>1147.61332387404</v>
      </c>
      <c r="S34" s="1500">
        <f t="shared" si="11"/>
        <v>1118.6379018202</v>
      </c>
      <c r="T34" s="1500">
        <f t="shared" si="11"/>
        <v>1237.11052758593</v>
      </c>
      <c r="U34" s="1500">
        <f t="shared" si="11"/>
        <v>513.467807550203</v>
      </c>
      <c r="V34" s="1500">
        <f t="shared" si="11"/>
        <v>169.610424792661</v>
      </c>
      <c r="W34" s="1500">
        <f t="shared" si="11"/>
        <v>249.067391346109</v>
      </c>
      <c r="X34" s="1500">
        <f t="shared" si="11"/>
        <v>0</v>
      </c>
      <c r="Y34" s="1500">
        <f t="shared" si="11"/>
        <v>386.565393365891</v>
      </c>
      <c r="Z34" s="1500">
        <f t="shared" si="11"/>
        <v>0</v>
      </c>
      <c r="AA34" s="1500">
        <f t="shared" si="11"/>
        <v>0</v>
      </c>
      <c r="AB34" s="1500">
        <f t="shared" si="11"/>
        <v>0</v>
      </c>
      <c r="AC34" s="1500">
        <f t="shared" si="11"/>
        <v>0</v>
      </c>
      <c r="AD34" s="1500">
        <f t="shared" si="11"/>
        <v>0</v>
      </c>
      <c r="AE34" s="1500">
        <f t="shared" si="11"/>
        <v>545.271417116734</v>
      </c>
      <c r="AF34" s="1500">
        <f t="shared" si="11"/>
        <v>0</v>
      </c>
      <c r="AG34" s="1500">
        <f t="shared" si="11"/>
        <v>0</v>
      </c>
      <c r="AH34" s="1500">
        <f t="shared" si="11"/>
        <v>0</v>
      </c>
      <c r="AI34" s="1500">
        <f t="shared" si="11"/>
        <v>0</v>
      </c>
      <c r="AJ34" s="1500">
        <f t="shared" si="11"/>
        <v>0</v>
      </c>
      <c r="AK34" s="1500">
        <f t="shared" si="11"/>
        <v>0</v>
      </c>
      <c r="AL34" s="1500">
        <f t="shared" si="11"/>
        <v>0</v>
      </c>
      <c r="AM34" s="1500">
        <f t="shared" si="11"/>
        <v>0</v>
      </c>
      <c r="AN34" s="1500">
        <f t="shared" si="11"/>
        <v>0</v>
      </c>
      <c r="AO34" s="1500">
        <f t="shared" si="11"/>
        <v>0</v>
      </c>
      <c r="AP34" s="1500">
        <f t="shared" si="11"/>
        <v>0</v>
      </c>
      <c r="AQ34" s="1500">
        <f t="shared" si="11"/>
        <v>0</v>
      </c>
      <c r="AR34" s="1500">
        <f t="shared" si="11"/>
        <v>0</v>
      </c>
    </row>
    <row r="35" s="1511" customFormat="1" spans="1:2">
      <c r="A35" s="1520" t="s">
        <v>385</v>
      </c>
      <c r="B35" s="1533">
        <f>POWER(1+IRR(C33:AR33),4)-1</f>
        <v>0.790748957606052</v>
      </c>
    </row>
    <row r="36" s="1511" customFormat="1" spans="1:2">
      <c r="A36" s="1520" t="s">
        <v>386</v>
      </c>
      <c r="B36" s="1534"/>
    </row>
    <row r="37" s="1511" customFormat="1" spans="1:2">
      <c r="A37" s="1520" t="s">
        <v>387</v>
      </c>
      <c r="B37" s="1532">
        <f>-B31/SUM(B27:B28)</f>
        <v>2.36427598472792</v>
      </c>
    </row>
    <row r="38" s="1511" customFormat="1" spans="1:2">
      <c r="A38" s="1520" t="s">
        <v>388</v>
      </c>
      <c r="B38" s="1506"/>
    </row>
    <row r="39" s="1511" customFormat="1" spans="1:3">
      <c r="A39" s="1479"/>
      <c r="B39" s="1522"/>
      <c r="C39" s="1522"/>
    </row>
  </sheetData>
  <mergeCells count="1">
    <mergeCell ref="A25:A26"/>
  </mergeCells>
  <pageMargins left="0.699305555555556" right="0.699305555555556"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7"/>
  <sheetViews>
    <sheetView workbookViewId="0">
      <pane xSplit="1" ySplit="1" topLeftCell="B2" activePane="bottomRight" state="frozen"/>
      <selection/>
      <selection pane="topRight"/>
      <selection pane="bottomLeft"/>
      <selection pane="bottomRight" activeCell="E16" sqref="E16"/>
    </sheetView>
  </sheetViews>
  <sheetFormatPr defaultColWidth="11.1" defaultRowHeight="12.75"/>
  <cols>
    <col min="1" max="1" width="22.1" style="1496" customWidth="1"/>
    <col min="2" max="9" width="11.1" style="1496" customWidth="1"/>
    <col min="10" max="10" width="15.1" style="1496" customWidth="1"/>
    <col min="11" max="11" width="14.1" style="1496" customWidth="1"/>
    <col min="12" max="12" width="16.1" style="1497" customWidth="1"/>
    <col min="13" max="258" width="11.1" style="1496"/>
    <col min="259" max="267" width="11.1" style="1496" customWidth="1"/>
    <col min="268" max="268" width="16.1" style="1496" customWidth="1"/>
    <col min="269" max="514" width="11.1" style="1496"/>
    <col min="515" max="523" width="11.1" style="1496" customWidth="1"/>
    <col min="524" max="524" width="16.1" style="1496" customWidth="1"/>
    <col min="525" max="770" width="11.1" style="1496"/>
    <col min="771" max="779" width="11.1" style="1496" customWidth="1"/>
    <col min="780" max="780" width="16.1" style="1496" customWidth="1"/>
    <col min="781" max="1026" width="11.1" style="1496"/>
    <col min="1027" max="1035" width="11.1" style="1496" customWidth="1"/>
    <col min="1036" max="1036" width="16.1" style="1496" customWidth="1"/>
    <col min="1037" max="1282" width="11.1" style="1496"/>
    <col min="1283" max="1291" width="11.1" style="1496" customWidth="1"/>
    <col min="1292" max="1292" width="16.1" style="1496" customWidth="1"/>
    <col min="1293" max="1538" width="11.1" style="1496"/>
    <col min="1539" max="1547" width="11.1" style="1496" customWidth="1"/>
    <col min="1548" max="1548" width="16.1" style="1496" customWidth="1"/>
    <col min="1549" max="1794" width="11.1" style="1496"/>
    <col min="1795" max="1803" width="11.1" style="1496" customWidth="1"/>
    <col min="1804" max="1804" width="16.1" style="1496" customWidth="1"/>
    <col min="1805" max="2050" width="11.1" style="1496"/>
    <col min="2051" max="2059" width="11.1" style="1496" customWidth="1"/>
    <col min="2060" max="2060" width="16.1" style="1496" customWidth="1"/>
    <col min="2061" max="2306" width="11.1" style="1496"/>
    <col min="2307" max="2315" width="11.1" style="1496" customWidth="1"/>
    <col min="2316" max="2316" width="16.1" style="1496" customWidth="1"/>
    <col min="2317" max="2562" width="11.1" style="1496"/>
    <col min="2563" max="2571" width="11.1" style="1496" customWidth="1"/>
    <col min="2572" max="2572" width="16.1" style="1496" customWidth="1"/>
    <col min="2573" max="2818" width="11.1" style="1496"/>
    <col min="2819" max="2827" width="11.1" style="1496" customWidth="1"/>
    <col min="2828" max="2828" width="16.1" style="1496" customWidth="1"/>
    <col min="2829" max="3074" width="11.1" style="1496"/>
    <col min="3075" max="3083" width="11.1" style="1496" customWidth="1"/>
    <col min="3084" max="3084" width="16.1" style="1496" customWidth="1"/>
    <col min="3085" max="3330" width="11.1" style="1496"/>
    <col min="3331" max="3339" width="11.1" style="1496" customWidth="1"/>
    <col min="3340" max="3340" width="16.1" style="1496" customWidth="1"/>
    <col min="3341" max="3586" width="11.1" style="1496"/>
    <col min="3587" max="3595" width="11.1" style="1496" customWidth="1"/>
    <col min="3596" max="3596" width="16.1" style="1496" customWidth="1"/>
    <col min="3597" max="3842" width="11.1" style="1496"/>
    <col min="3843" max="3851" width="11.1" style="1496" customWidth="1"/>
    <col min="3852" max="3852" width="16.1" style="1496" customWidth="1"/>
    <col min="3853" max="4098" width="11.1" style="1496"/>
    <col min="4099" max="4107" width="11.1" style="1496" customWidth="1"/>
    <col min="4108" max="4108" width="16.1" style="1496" customWidth="1"/>
    <col min="4109" max="4354" width="11.1" style="1496"/>
    <col min="4355" max="4363" width="11.1" style="1496" customWidth="1"/>
    <col min="4364" max="4364" width="16.1" style="1496" customWidth="1"/>
    <col min="4365" max="4610" width="11.1" style="1496"/>
    <col min="4611" max="4619" width="11.1" style="1496" customWidth="1"/>
    <col min="4620" max="4620" width="16.1" style="1496" customWidth="1"/>
    <col min="4621" max="4866" width="11.1" style="1496"/>
    <col min="4867" max="4875" width="11.1" style="1496" customWidth="1"/>
    <col min="4876" max="4876" width="16.1" style="1496" customWidth="1"/>
    <col min="4877" max="5122" width="11.1" style="1496"/>
    <col min="5123" max="5131" width="11.1" style="1496" customWidth="1"/>
    <col min="5132" max="5132" width="16.1" style="1496" customWidth="1"/>
    <col min="5133" max="5378" width="11.1" style="1496"/>
    <col min="5379" max="5387" width="11.1" style="1496" customWidth="1"/>
    <col min="5388" max="5388" width="16.1" style="1496" customWidth="1"/>
    <col min="5389" max="5634" width="11.1" style="1496"/>
    <col min="5635" max="5643" width="11.1" style="1496" customWidth="1"/>
    <col min="5644" max="5644" width="16.1" style="1496" customWidth="1"/>
    <col min="5645" max="5890" width="11.1" style="1496"/>
    <col min="5891" max="5899" width="11.1" style="1496" customWidth="1"/>
    <col min="5900" max="5900" width="16.1" style="1496" customWidth="1"/>
    <col min="5901" max="6146" width="11.1" style="1496"/>
    <col min="6147" max="6155" width="11.1" style="1496" customWidth="1"/>
    <col min="6156" max="6156" width="16.1" style="1496" customWidth="1"/>
    <col min="6157" max="6402" width="11.1" style="1496"/>
    <col min="6403" max="6411" width="11.1" style="1496" customWidth="1"/>
    <col min="6412" max="6412" width="16.1" style="1496" customWidth="1"/>
    <col min="6413" max="6658" width="11.1" style="1496"/>
    <col min="6659" max="6667" width="11.1" style="1496" customWidth="1"/>
    <col min="6668" max="6668" width="16.1" style="1496" customWidth="1"/>
    <col min="6669" max="6914" width="11.1" style="1496"/>
    <col min="6915" max="6923" width="11.1" style="1496" customWidth="1"/>
    <col min="6924" max="6924" width="16.1" style="1496" customWidth="1"/>
    <col min="6925" max="7170" width="11.1" style="1496"/>
    <col min="7171" max="7179" width="11.1" style="1496" customWidth="1"/>
    <col min="7180" max="7180" width="16.1" style="1496" customWidth="1"/>
    <col min="7181" max="7426" width="11.1" style="1496"/>
    <col min="7427" max="7435" width="11.1" style="1496" customWidth="1"/>
    <col min="7436" max="7436" width="16.1" style="1496" customWidth="1"/>
    <col min="7437" max="7682" width="11.1" style="1496"/>
    <col min="7683" max="7691" width="11.1" style="1496" customWidth="1"/>
    <col min="7692" max="7692" width="16.1" style="1496" customWidth="1"/>
    <col min="7693" max="7938" width="11.1" style="1496"/>
    <col min="7939" max="7947" width="11.1" style="1496" customWidth="1"/>
    <col min="7948" max="7948" width="16.1" style="1496" customWidth="1"/>
    <col min="7949" max="8194" width="11.1" style="1496"/>
    <col min="8195" max="8203" width="11.1" style="1496" customWidth="1"/>
    <col min="8204" max="8204" width="16.1" style="1496" customWidth="1"/>
    <col min="8205" max="8450" width="11.1" style="1496"/>
    <col min="8451" max="8459" width="11.1" style="1496" customWidth="1"/>
    <col min="8460" max="8460" width="16.1" style="1496" customWidth="1"/>
    <col min="8461" max="8706" width="11.1" style="1496"/>
    <col min="8707" max="8715" width="11.1" style="1496" customWidth="1"/>
    <col min="8716" max="8716" width="16.1" style="1496" customWidth="1"/>
    <col min="8717" max="8962" width="11.1" style="1496"/>
    <col min="8963" max="8971" width="11.1" style="1496" customWidth="1"/>
    <col min="8972" max="8972" width="16.1" style="1496" customWidth="1"/>
    <col min="8973" max="9218" width="11.1" style="1496"/>
    <col min="9219" max="9227" width="11.1" style="1496" customWidth="1"/>
    <col min="9228" max="9228" width="16.1" style="1496" customWidth="1"/>
    <col min="9229" max="9474" width="11.1" style="1496"/>
    <col min="9475" max="9483" width="11.1" style="1496" customWidth="1"/>
    <col min="9484" max="9484" width="16.1" style="1496" customWidth="1"/>
    <col min="9485" max="9730" width="11.1" style="1496"/>
    <col min="9731" max="9739" width="11.1" style="1496" customWidth="1"/>
    <col min="9740" max="9740" width="16.1" style="1496" customWidth="1"/>
    <col min="9741" max="9986" width="11.1" style="1496"/>
    <col min="9987" max="9995" width="11.1" style="1496" customWidth="1"/>
    <col min="9996" max="9996" width="16.1" style="1496" customWidth="1"/>
    <col min="9997" max="10242" width="11.1" style="1496"/>
    <col min="10243" max="10251" width="11.1" style="1496" customWidth="1"/>
    <col min="10252" max="10252" width="16.1" style="1496" customWidth="1"/>
    <col min="10253" max="10498" width="11.1" style="1496"/>
    <col min="10499" max="10507" width="11.1" style="1496" customWidth="1"/>
    <col min="10508" max="10508" width="16.1" style="1496" customWidth="1"/>
    <col min="10509" max="10754" width="11.1" style="1496"/>
    <col min="10755" max="10763" width="11.1" style="1496" customWidth="1"/>
    <col min="10764" max="10764" width="16.1" style="1496" customWidth="1"/>
    <col min="10765" max="11010" width="11.1" style="1496"/>
    <col min="11011" max="11019" width="11.1" style="1496" customWidth="1"/>
    <col min="11020" max="11020" width="16.1" style="1496" customWidth="1"/>
    <col min="11021" max="11266" width="11.1" style="1496"/>
    <col min="11267" max="11275" width="11.1" style="1496" customWidth="1"/>
    <col min="11276" max="11276" width="16.1" style="1496" customWidth="1"/>
    <col min="11277" max="11522" width="11.1" style="1496"/>
    <col min="11523" max="11531" width="11.1" style="1496" customWidth="1"/>
    <col min="11532" max="11532" width="16.1" style="1496" customWidth="1"/>
    <col min="11533" max="11778" width="11.1" style="1496"/>
    <col min="11779" max="11787" width="11.1" style="1496" customWidth="1"/>
    <col min="11788" max="11788" width="16.1" style="1496" customWidth="1"/>
    <col min="11789" max="12034" width="11.1" style="1496"/>
    <col min="12035" max="12043" width="11.1" style="1496" customWidth="1"/>
    <col min="12044" max="12044" width="16.1" style="1496" customWidth="1"/>
    <col min="12045" max="12290" width="11.1" style="1496"/>
    <col min="12291" max="12299" width="11.1" style="1496" customWidth="1"/>
    <col min="12300" max="12300" width="16.1" style="1496" customWidth="1"/>
    <col min="12301" max="12546" width="11.1" style="1496"/>
    <col min="12547" max="12555" width="11.1" style="1496" customWidth="1"/>
    <col min="12556" max="12556" width="16.1" style="1496" customWidth="1"/>
    <col min="12557" max="12802" width="11.1" style="1496"/>
    <col min="12803" max="12811" width="11.1" style="1496" customWidth="1"/>
    <col min="12812" max="12812" width="16.1" style="1496" customWidth="1"/>
    <col min="12813" max="13058" width="11.1" style="1496"/>
    <col min="13059" max="13067" width="11.1" style="1496" customWidth="1"/>
    <col min="13068" max="13068" width="16.1" style="1496" customWidth="1"/>
    <col min="13069" max="13314" width="11.1" style="1496"/>
    <col min="13315" max="13323" width="11.1" style="1496" customWidth="1"/>
    <col min="13324" max="13324" width="16.1" style="1496" customWidth="1"/>
    <col min="13325" max="13570" width="11.1" style="1496"/>
    <col min="13571" max="13579" width="11.1" style="1496" customWidth="1"/>
    <col min="13580" max="13580" width="16.1" style="1496" customWidth="1"/>
    <col min="13581" max="13826" width="11.1" style="1496"/>
    <col min="13827" max="13835" width="11.1" style="1496" customWidth="1"/>
    <col min="13836" max="13836" width="16.1" style="1496" customWidth="1"/>
    <col min="13837" max="14082" width="11.1" style="1496"/>
    <col min="14083" max="14091" width="11.1" style="1496" customWidth="1"/>
    <col min="14092" max="14092" width="16.1" style="1496" customWidth="1"/>
    <col min="14093" max="14338" width="11.1" style="1496"/>
    <col min="14339" max="14347" width="11.1" style="1496" customWidth="1"/>
    <col min="14348" max="14348" width="16.1" style="1496" customWidth="1"/>
    <col min="14349" max="14594" width="11.1" style="1496"/>
    <col min="14595" max="14603" width="11.1" style="1496" customWidth="1"/>
    <col min="14604" max="14604" width="16.1" style="1496" customWidth="1"/>
    <col min="14605" max="14850" width="11.1" style="1496"/>
    <col min="14851" max="14859" width="11.1" style="1496" customWidth="1"/>
    <col min="14860" max="14860" width="16.1" style="1496" customWidth="1"/>
    <col min="14861" max="15106" width="11.1" style="1496"/>
    <col min="15107" max="15115" width="11.1" style="1496" customWidth="1"/>
    <col min="15116" max="15116" width="16.1" style="1496" customWidth="1"/>
    <col min="15117" max="15362" width="11.1" style="1496"/>
    <col min="15363" max="15371" width="11.1" style="1496" customWidth="1"/>
    <col min="15372" max="15372" width="16.1" style="1496" customWidth="1"/>
    <col min="15373" max="15618" width="11.1" style="1496"/>
    <col min="15619" max="15627" width="11.1" style="1496" customWidth="1"/>
    <col min="15628" max="15628" width="16.1" style="1496" customWidth="1"/>
    <col min="15629" max="15874" width="11.1" style="1496"/>
    <col min="15875" max="15883" width="11.1" style="1496" customWidth="1"/>
    <col min="15884" max="15884" width="16.1" style="1496" customWidth="1"/>
    <col min="15885" max="16130" width="11.1" style="1496"/>
    <col min="16131" max="16139" width="11.1" style="1496" customWidth="1"/>
    <col min="16140" max="16140" width="16.1" style="1496" customWidth="1"/>
    <col min="16141" max="16384" width="11.1" style="1496"/>
  </cols>
  <sheetData>
    <row r="1" s="1495" customFormat="1" ht="15" customHeight="1" spans="1:12">
      <c r="A1" s="1498" t="s">
        <v>389</v>
      </c>
      <c r="B1" s="1498" t="s">
        <v>390</v>
      </c>
      <c r="C1" s="1498" t="s">
        <v>391</v>
      </c>
      <c r="D1" s="1498" t="s">
        <v>392</v>
      </c>
      <c r="E1" s="1498" t="s">
        <v>393</v>
      </c>
      <c r="F1" s="1498" t="s">
        <v>363</v>
      </c>
      <c r="G1" s="1498" t="s">
        <v>242</v>
      </c>
      <c r="H1" s="1498" t="s">
        <v>394</v>
      </c>
      <c r="I1" s="1498" t="s">
        <v>395</v>
      </c>
      <c r="J1" s="1498" t="s">
        <v>396</v>
      </c>
      <c r="K1" s="1498" t="s">
        <v>397</v>
      </c>
      <c r="L1" s="1504" t="s">
        <v>398</v>
      </c>
    </row>
    <row r="2" s="1495" customFormat="1" ht="15" customHeight="1" spans="1:12">
      <c r="A2" s="1499" t="s">
        <v>399</v>
      </c>
      <c r="B2" s="1500">
        <v>203390</v>
      </c>
      <c r="C2" s="1500">
        <v>203390</v>
      </c>
      <c r="D2" s="1500"/>
      <c r="E2" s="1500"/>
      <c r="F2" s="1500"/>
      <c r="G2" s="1500"/>
      <c r="H2" s="1500"/>
      <c r="I2" s="1500"/>
      <c r="J2" s="1500"/>
      <c r="K2" s="1500">
        <v>0</v>
      </c>
      <c r="L2" s="1505" t="s">
        <v>400</v>
      </c>
    </row>
    <row r="3" s="1495" customFormat="1" ht="15" customHeight="1" spans="1:12">
      <c r="A3" s="1499" t="s">
        <v>399</v>
      </c>
      <c r="B3" s="1500">
        <v>204543.482386762</v>
      </c>
      <c r="C3" s="1500">
        <v>204543.482386762</v>
      </c>
      <c r="D3" s="1500">
        <v>204543.482386762</v>
      </c>
      <c r="E3" s="1500">
        <v>204543.482386762</v>
      </c>
      <c r="F3" s="1500">
        <v>204543.482386762</v>
      </c>
      <c r="G3" s="1500">
        <v>204543.482386762</v>
      </c>
      <c r="H3" s="1500"/>
      <c r="I3" s="1500">
        <v>204543.482386762</v>
      </c>
      <c r="J3" s="1500"/>
      <c r="K3" s="1506">
        <v>0</v>
      </c>
      <c r="L3" s="1505" t="s">
        <v>401</v>
      </c>
    </row>
    <row r="4" s="1495" customFormat="1" ht="15" customHeight="1" spans="1:12">
      <c r="A4" s="1499" t="s">
        <v>235</v>
      </c>
      <c r="B4" s="1500"/>
      <c r="C4" s="1500"/>
      <c r="D4" s="1500">
        <v>231211.303148186</v>
      </c>
      <c r="E4" s="1500">
        <v>231211.303148186</v>
      </c>
      <c r="F4" s="1500">
        <v>231211.303148186</v>
      </c>
      <c r="G4" s="1500">
        <v>231211.303148186</v>
      </c>
      <c r="H4" s="1500">
        <v>231211.303148186</v>
      </c>
      <c r="I4" s="1500">
        <v>231211.303148186</v>
      </c>
      <c r="J4" s="1500">
        <v>231211.303148186</v>
      </c>
      <c r="K4" s="1500">
        <v>0</v>
      </c>
      <c r="L4" s="1505"/>
    </row>
    <row r="5" s="1495" customFormat="1" ht="15" customHeight="1" spans="1:12">
      <c r="A5" s="1499" t="s">
        <v>212</v>
      </c>
      <c r="B5" s="1500"/>
      <c r="C5" s="1500">
        <v>158974.903960703</v>
      </c>
      <c r="D5" s="1500"/>
      <c r="E5" s="1500"/>
      <c r="F5" s="1500">
        <v>158974.903960703</v>
      </c>
      <c r="G5" s="1500">
        <v>158974.903960703</v>
      </c>
      <c r="H5" s="1500">
        <v>158974.903960704</v>
      </c>
      <c r="I5" s="1500"/>
      <c r="J5" s="1500"/>
      <c r="K5" s="1500">
        <v>0</v>
      </c>
      <c r="L5" s="1505"/>
    </row>
    <row r="6" s="1495" customFormat="1" ht="15" customHeight="1" spans="1:12">
      <c r="A6" s="1499" t="s">
        <v>402</v>
      </c>
      <c r="B6" s="1500"/>
      <c r="C6" s="1500"/>
      <c r="D6" s="1500"/>
      <c r="E6" s="1500"/>
      <c r="F6" s="1500">
        <v>34079.4635697959</v>
      </c>
      <c r="G6" s="1500">
        <v>34079.463569796</v>
      </c>
      <c r="H6" s="1500">
        <v>34079.463569796</v>
      </c>
      <c r="I6" s="1500">
        <v>34079.463569796</v>
      </c>
      <c r="J6" s="1500"/>
      <c r="K6" s="1500">
        <v>0</v>
      </c>
      <c r="L6" s="1505"/>
    </row>
    <row r="7" s="1495" customFormat="1" ht="15" customHeight="1" spans="1:12">
      <c r="A7" s="1499" t="s">
        <v>11</v>
      </c>
      <c r="B7" s="1500"/>
      <c r="C7" s="1500">
        <v>15429.2799172248</v>
      </c>
      <c r="D7" s="1500"/>
      <c r="E7" s="1500"/>
      <c r="F7" s="1500">
        <v>15429.2799172248</v>
      </c>
      <c r="G7" s="1500">
        <v>15429.2799172248</v>
      </c>
      <c r="H7" s="1500">
        <v>15429.2799172248</v>
      </c>
      <c r="I7" s="1500"/>
      <c r="J7" s="1500"/>
      <c r="K7" s="1500">
        <v>0</v>
      </c>
      <c r="L7" s="1505"/>
    </row>
    <row r="8" s="1495" customFormat="1" ht="15" customHeight="1" spans="1:12">
      <c r="A8" s="1499" t="s">
        <v>403</v>
      </c>
      <c r="B8" s="1500"/>
      <c r="C8" s="1500"/>
      <c r="D8" s="1500"/>
      <c r="E8" s="1500"/>
      <c r="F8" s="1500">
        <v>11367.8345105295</v>
      </c>
      <c r="G8" s="1500">
        <v>11367.8345105295</v>
      </c>
      <c r="H8" s="1500"/>
      <c r="I8" s="1500"/>
      <c r="J8" s="1500"/>
      <c r="K8" s="1500">
        <v>0</v>
      </c>
      <c r="L8" s="1505"/>
    </row>
    <row r="9" s="1495" customFormat="1" ht="15" customHeight="1" spans="1:12">
      <c r="A9" s="1499" t="s">
        <v>404</v>
      </c>
      <c r="B9" s="1500"/>
      <c r="C9" s="1500"/>
      <c r="D9" s="1500"/>
      <c r="E9" s="1500"/>
      <c r="F9" s="1500">
        <v>11359.821189932</v>
      </c>
      <c r="G9" s="1500">
        <v>11359.821189932</v>
      </c>
      <c r="H9" s="1500">
        <v>11359.821189932</v>
      </c>
      <c r="I9" s="1500"/>
      <c r="J9" s="1500"/>
      <c r="K9" s="1506">
        <v>0</v>
      </c>
      <c r="L9" s="1505"/>
    </row>
    <row r="10" s="1495" customFormat="1" ht="15" customHeight="1" spans="1:12">
      <c r="A10" s="1499" t="s">
        <v>17</v>
      </c>
      <c r="B10" s="1500"/>
      <c r="C10" s="1500"/>
      <c r="D10" s="1500"/>
      <c r="E10" s="1500"/>
      <c r="F10" s="1500"/>
      <c r="G10" s="1500"/>
      <c r="H10" s="1500">
        <v>9849.21069912824</v>
      </c>
      <c r="I10" s="1500"/>
      <c r="J10" s="1500">
        <v>9849.21069912824</v>
      </c>
      <c r="K10" s="1506">
        <v>0</v>
      </c>
      <c r="L10" s="1505"/>
    </row>
    <row r="11" s="1495" customFormat="1" ht="12" spans="1:12">
      <c r="A11" s="1501" t="s">
        <v>405</v>
      </c>
      <c r="B11" s="1501"/>
      <c r="C11" s="1501"/>
      <c r="D11" s="1501"/>
      <c r="E11" s="1501"/>
      <c r="F11" s="1501"/>
      <c r="G11" s="1501"/>
      <c r="H11" s="1501"/>
      <c r="I11" s="1501"/>
      <c r="J11" s="1501"/>
      <c r="K11" s="1507">
        <v>0</v>
      </c>
      <c r="L11" s="1505"/>
    </row>
    <row r="12" s="1495" customFormat="1" ht="12" spans="12:12">
      <c r="L12" s="1508"/>
    </row>
    <row r="13" s="1495" customFormat="1" spans="1:12">
      <c r="A13" s="1496"/>
      <c r="L13" s="1508"/>
    </row>
    <row r="14" s="1495" customFormat="1" ht="12" spans="4:12">
      <c r="D14" s="1502"/>
      <c r="L14" s="1508"/>
    </row>
    <row r="15" s="1495" customFormat="1" ht="12" spans="8:12">
      <c r="H15" s="1502">
        <v>0</v>
      </c>
      <c r="L15" s="1508"/>
    </row>
    <row r="16" spans="8:8">
      <c r="H16" s="1503">
        <v>0</v>
      </c>
    </row>
    <row r="17" spans="9:10">
      <c r="I17" s="1509"/>
      <c r="J17" s="1509"/>
    </row>
  </sheetData>
  <mergeCells count="1">
    <mergeCell ref="A11:H11"/>
  </mergeCells>
  <pageMargins left="0.75" right="0.75" top="1" bottom="1" header="0.5" footer="0.5"/>
  <pageSetup paperSize="9"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S59"/>
  <sheetViews>
    <sheetView workbookViewId="0">
      <pane xSplit="3" ySplit="5" topLeftCell="Q21" activePane="bottomRight" state="frozen"/>
      <selection/>
      <selection pane="topRight"/>
      <selection pane="bottomLeft"/>
      <selection pane="bottomRight" activeCell="A1" sqref="A1"/>
    </sheetView>
  </sheetViews>
  <sheetFormatPr defaultColWidth="9" defaultRowHeight="12"/>
  <cols>
    <col min="1" max="1" width="14.6" style="1481" customWidth="1"/>
    <col min="2" max="2" width="17.9" style="1482" customWidth="1"/>
    <col min="3" max="3" width="11.1" style="1482" customWidth="1"/>
    <col min="4" max="45" width="9" style="1482"/>
    <col min="46" max="261" width="9" style="1481"/>
    <col min="262" max="262" width="14.6" style="1481" customWidth="1"/>
    <col min="263" max="263" width="9.1" style="1481" customWidth="1"/>
    <col min="264" max="264" width="11.1" style="1481" customWidth="1"/>
    <col min="265" max="517" width="9" style="1481"/>
    <col min="518" max="518" width="14.6" style="1481" customWidth="1"/>
    <col min="519" max="519" width="9.1" style="1481" customWidth="1"/>
    <col min="520" max="520" width="11.1" style="1481" customWidth="1"/>
    <col min="521" max="773" width="9" style="1481"/>
    <col min="774" max="774" width="14.6" style="1481" customWidth="1"/>
    <col min="775" max="775" width="9.1" style="1481" customWidth="1"/>
    <col min="776" max="776" width="11.1" style="1481" customWidth="1"/>
    <col min="777" max="1029" width="9" style="1481"/>
    <col min="1030" max="1030" width="14.6" style="1481" customWidth="1"/>
    <col min="1031" max="1031" width="9.1" style="1481" customWidth="1"/>
    <col min="1032" max="1032" width="11.1" style="1481" customWidth="1"/>
    <col min="1033" max="1285" width="9" style="1481"/>
    <col min="1286" max="1286" width="14.6" style="1481" customWidth="1"/>
    <col min="1287" max="1287" width="9.1" style="1481" customWidth="1"/>
    <col min="1288" max="1288" width="11.1" style="1481" customWidth="1"/>
    <col min="1289" max="1541" width="9" style="1481"/>
    <col min="1542" max="1542" width="14.6" style="1481" customWidth="1"/>
    <col min="1543" max="1543" width="9.1" style="1481" customWidth="1"/>
    <col min="1544" max="1544" width="11.1" style="1481" customWidth="1"/>
    <col min="1545" max="1797" width="9" style="1481"/>
    <col min="1798" max="1798" width="14.6" style="1481" customWidth="1"/>
    <col min="1799" max="1799" width="9.1" style="1481" customWidth="1"/>
    <col min="1800" max="1800" width="11.1" style="1481" customWidth="1"/>
    <col min="1801" max="2053" width="9" style="1481"/>
    <col min="2054" max="2054" width="14.6" style="1481" customWidth="1"/>
    <col min="2055" max="2055" width="9.1" style="1481" customWidth="1"/>
    <col min="2056" max="2056" width="11.1" style="1481" customWidth="1"/>
    <col min="2057" max="2309" width="9" style="1481"/>
    <col min="2310" max="2310" width="14.6" style="1481" customWidth="1"/>
    <col min="2311" max="2311" width="9.1" style="1481" customWidth="1"/>
    <col min="2312" max="2312" width="11.1" style="1481" customWidth="1"/>
    <col min="2313" max="2565" width="9" style="1481"/>
    <col min="2566" max="2566" width="14.6" style="1481" customWidth="1"/>
    <col min="2567" max="2567" width="9.1" style="1481" customWidth="1"/>
    <col min="2568" max="2568" width="11.1" style="1481" customWidth="1"/>
    <col min="2569" max="2821" width="9" style="1481"/>
    <col min="2822" max="2822" width="14.6" style="1481" customWidth="1"/>
    <col min="2823" max="2823" width="9.1" style="1481" customWidth="1"/>
    <col min="2824" max="2824" width="11.1" style="1481" customWidth="1"/>
    <col min="2825" max="3077" width="9" style="1481"/>
    <col min="3078" max="3078" width="14.6" style="1481" customWidth="1"/>
    <col min="3079" max="3079" width="9.1" style="1481" customWidth="1"/>
    <col min="3080" max="3080" width="11.1" style="1481" customWidth="1"/>
    <col min="3081" max="3333" width="9" style="1481"/>
    <col min="3334" max="3334" width="14.6" style="1481" customWidth="1"/>
    <col min="3335" max="3335" width="9.1" style="1481" customWidth="1"/>
    <col min="3336" max="3336" width="11.1" style="1481" customWidth="1"/>
    <col min="3337" max="3589" width="9" style="1481"/>
    <col min="3590" max="3590" width="14.6" style="1481" customWidth="1"/>
    <col min="3591" max="3591" width="9.1" style="1481" customWidth="1"/>
    <col min="3592" max="3592" width="11.1" style="1481" customWidth="1"/>
    <col min="3593" max="3845" width="9" style="1481"/>
    <col min="3846" max="3846" width="14.6" style="1481" customWidth="1"/>
    <col min="3847" max="3847" width="9.1" style="1481" customWidth="1"/>
    <col min="3848" max="3848" width="11.1" style="1481" customWidth="1"/>
    <col min="3849" max="4101" width="9" style="1481"/>
    <col min="4102" max="4102" width="14.6" style="1481" customWidth="1"/>
    <col min="4103" max="4103" width="9.1" style="1481" customWidth="1"/>
    <col min="4104" max="4104" width="11.1" style="1481" customWidth="1"/>
    <col min="4105" max="4357" width="9" style="1481"/>
    <col min="4358" max="4358" width="14.6" style="1481" customWidth="1"/>
    <col min="4359" max="4359" width="9.1" style="1481" customWidth="1"/>
    <col min="4360" max="4360" width="11.1" style="1481" customWidth="1"/>
    <col min="4361" max="4613" width="9" style="1481"/>
    <col min="4614" max="4614" width="14.6" style="1481" customWidth="1"/>
    <col min="4615" max="4615" width="9.1" style="1481" customWidth="1"/>
    <col min="4616" max="4616" width="11.1" style="1481" customWidth="1"/>
    <col min="4617" max="4869" width="9" style="1481"/>
    <col min="4870" max="4870" width="14.6" style="1481" customWidth="1"/>
    <col min="4871" max="4871" width="9.1" style="1481" customWidth="1"/>
    <col min="4872" max="4872" width="11.1" style="1481" customWidth="1"/>
    <col min="4873" max="5125" width="9" style="1481"/>
    <col min="5126" max="5126" width="14.6" style="1481" customWidth="1"/>
    <col min="5127" max="5127" width="9.1" style="1481" customWidth="1"/>
    <col min="5128" max="5128" width="11.1" style="1481" customWidth="1"/>
    <col min="5129" max="5381" width="9" style="1481"/>
    <col min="5382" max="5382" width="14.6" style="1481" customWidth="1"/>
    <col min="5383" max="5383" width="9.1" style="1481" customWidth="1"/>
    <col min="5384" max="5384" width="11.1" style="1481" customWidth="1"/>
    <col min="5385" max="5637" width="9" style="1481"/>
    <col min="5638" max="5638" width="14.6" style="1481" customWidth="1"/>
    <col min="5639" max="5639" width="9.1" style="1481" customWidth="1"/>
    <col min="5640" max="5640" width="11.1" style="1481" customWidth="1"/>
    <col min="5641" max="5893" width="9" style="1481"/>
    <col min="5894" max="5894" width="14.6" style="1481" customWidth="1"/>
    <col min="5895" max="5895" width="9.1" style="1481" customWidth="1"/>
    <col min="5896" max="5896" width="11.1" style="1481" customWidth="1"/>
    <col min="5897" max="6149" width="9" style="1481"/>
    <col min="6150" max="6150" width="14.6" style="1481" customWidth="1"/>
    <col min="6151" max="6151" width="9.1" style="1481" customWidth="1"/>
    <col min="6152" max="6152" width="11.1" style="1481" customWidth="1"/>
    <col min="6153" max="6405" width="9" style="1481"/>
    <col min="6406" max="6406" width="14.6" style="1481" customWidth="1"/>
    <col min="6407" max="6407" width="9.1" style="1481" customWidth="1"/>
    <col min="6408" max="6408" width="11.1" style="1481" customWidth="1"/>
    <col min="6409" max="6661" width="9" style="1481"/>
    <col min="6662" max="6662" width="14.6" style="1481" customWidth="1"/>
    <col min="6663" max="6663" width="9.1" style="1481" customWidth="1"/>
    <col min="6664" max="6664" width="11.1" style="1481" customWidth="1"/>
    <col min="6665" max="6917" width="9" style="1481"/>
    <col min="6918" max="6918" width="14.6" style="1481" customWidth="1"/>
    <col min="6919" max="6919" width="9.1" style="1481" customWidth="1"/>
    <col min="6920" max="6920" width="11.1" style="1481" customWidth="1"/>
    <col min="6921" max="7173" width="9" style="1481"/>
    <col min="7174" max="7174" width="14.6" style="1481" customWidth="1"/>
    <col min="7175" max="7175" width="9.1" style="1481" customWidth="1"/>
    <col min="7176" max="7176" width="11.1" style="1481" customWidth="1"/>
    <col min="7177" max="7429" width="9" style="1481"/>
    <col min="7430" max="7430" width="14.6" style="1481" customWidth="1"/>
    <col min="7431" max="7431" width="9.1" style="1481" customWidth="1"/>
    <col min="7432" max="7432" width="11.1" style="1481" customWidth="1"/>
    <col min="7433" max="7685" width="9" style="1481"/>
    <col min="7686" max="7686" width="14.6" style="1481" customWidth="1"/>
    <col min="7687" max="7687" width="9.1" style="1481" customWidth="1"/>
    <col min="7688" max="7688" width="11.1" style="1481" customWidth="1"/>
    <col min="7689" max="7941" width="9" style="1481"/>
    <col min="7942" max="7942" width="14.6" style="1481" customWidth="1"/>
    <col min="7943" max="7943" width="9.1" style="1481" customWidth="1"/>
    <col min="7944" max="7944" width="11.1" style="1481" customWidth="1"/>
    <col min="7945" max="8197" width="9" style="1481"/>
    <col min="8198" max="8198" width="14.6" style="1481" customWidth="1"/>
    <col min="8199" max="8199" width="9.1" style="1481" customWidth="1"/>
    <col min="8200" max="8200" width="11.1" style="1481" customWidth="1"/>
    <col min="8201" max="8453" width="9" style="1481"/>
    <col min="8454" max="8454" width="14.6" style="1481" customWidth="1"/>
    <col min="8455" max="8455" width="9.1" style="1481" customWidth="1"/>
    <col min="8456" max="8456" width="11.1" style="1481" customWidth="1"/>
    <col min="8457" max="8709" width="9" style="1481"/>
    <col min="8710" max="8710" width="14.6" style="1481" customWidth="1"/>
    <col min="8711" max="8711" width="9.1" style="1481" customWidth="1"/>
    <col min="8712" max="8712" width="11.1" style="1481" customWidth="1"/>
    <col min="8713" max="8965" width="9" style="1481"/>
    <col min="8966" max="8966" width="14.6" style="1481" customWidth="1"/>
    <col min="8967" max="8967" width="9.1" style="1481" customWidth="1"/>
    <col min="8968" max="8968" width="11.1" style="1481" customWidth="1"/>
    <col min="8969" max="9221" width="9" style="1481"/>
    <col min="9222" max="9222" width="14.6" style="1481" customWidth="1"/>
    <col min="9223" max="9223" width="9.1" style="1481" customWidth="1"/>
    <col min="9224" max="9224" width="11.1" style="1481" customWidth="1"/>
    <col min="9225" max="9477" width="9" style="1481"/>
    <col min="9478" max="9478" width="14.6" style="1481" customWidth="1"/>
    <col min="9479" max="9479" width="9.1" style="1481" customWidth="1"/>
    <col min="9480" max="9480" width="11.1" style="1481" customWidth="1"/>
    <col min="9481" max="9733" width="9" style="1481"/>
    <col min="9734" max="9734" width="14.6" style="1481" customWidth="1"/>
    <col min="9735" max="9735" width="9.1" style="1481" customWidth="1"/>
    <col min="9736" max="9736" width="11.1" style="1481" customWidth="1"/>
    <col min="9737" max="9989" width="9" style="1481"/>
    <col min="9990" max="9990" width="14.6" style="1481" customWidth="1"/>
    <col min="9991" max="9991" width="9.1" style="1481" customWidth="1"/>
    <col min="9992" max="9992" width="11.1" style="1481" customWidth="1"/>
    <col min="9993" max="10245" width="9" style="1481"/>
    <col min="10246" max="10246" width="14.6" style="1481" customWidth="1"/>
    <col min="10247" max="10247" width="9.1" style="1481" customWidth="1"/>
    <col min="10248" max="10248" width="11.1" style="1481" customWidth="1"/>
    <col min="10249" max="10501" width="9" style="1481"/>
    <col min="10502" max="10502" width="14.6" style="1481" customWidth="1"/>
    <col min="10503" max="10503" width="9.1" style="1481" customWidth="1"/>
    <col min="10504" max="10504" width="11.1" style="1481" customWidth="1"/>
    <col min="10505" max="10757" width="9" style="1481"/>
    <col min="10758" max="10758" width="14.6" style="1481" customWidth="1"/>
    <col min="10759" max="10759" width="9.1" style="1481" customWidth="1"/>
    <col min="10760" max="10760" width="11.1" style="1481" customWidth="1"/>
    <col min="10761" max="11013" width="9" style="1481"/>
    <col min="11014" max="11014" width="14.6" style="1481" customWidth="1"/>
    <col min="11015" max="11015" width="9.1" style="1481" customWidth="1"/>
    <col min="11016" max="11016" width="11.1" style="1481" customWidth="1"/>
    <col min="11017" max="11269" width="9" style="1481"/>
    <col min="11270" max="11270" width="14.6" style="1481" customWidth="1"/>
    <col min="11271" max="11271" width="9.1" style="1481" customWidth="1"/>
    <col min="11272" max="11272" width="11.1" style="1481" customWidth="1"/>
    <col min="11273" max="11525" width="9" style="1481"/>
    <col min="11526" max="11526" width="14.6" style="1481" customWidth="1"/>
    <col min="11527" max="11527" width="9.1" style="1481" customWidth="1"/>
    <col min="11528" max="11528" width="11.1" style="1481" customWidth="1"/>
    <col min="11529" max="11781" width="9" style="1481"/>
    <col min="11782" max="11782" width="14.6" style="1481" customWidth="1"/>
    <col min="11783" max="11783" width="9.1" style="1481" customWidth="1"/>
    <col min="11784" max="11784" width="11.1" style="1481" customWidth="1"/>
    <col min="11785" max="12037" width="9" style="1481"/>
    <col min="12038" max="12038" width="14.6" style="1481" customWidth="1"/>
    <col min="12039" max="12039" width="9.1" style="1481" customWidth="1"/>
    <col min="12040" max="12040" width="11.1" style="1481" customWidth="1"/>
    <col min="12041" max="12293" width="9" style="1481"/>
    <col min="12294" max="12294" width="14.6" style="1481" customWidth="1"/>
    <col min="12295" max="12295" width="9.1" style="1481" customWidth="1"/>
    <col min="12296" max="12296" width="11.1" style="1481" customWidth="1"/>
    <col min="12297" max="12549" width="9" style="1481"/>
    <col min="12550" max="12550" width="14.6" style="1481" customWidth="1"/>
    <col min="12551" max="12551" width="9.1" style="1481" customWidth="1"/>
    <col min="12552" max="12552" width="11.1" style="1481" customWidth="1"/>
    <col min="12553" max="12805" width="9" style="1481"/>
    <col min="12806" max="12806" width="14.6" style="1481" customWidth="1"/>
    <col min="12807" max="12807" width="9.1" style="1481" customWidth="1"/>
    <col min="12808" max="12808" width="11.1" style="1481" customWidth="1"/>
    <col min="12809" max="13061" width="9" style="1481"/>
    <col min="13062" max="13062" width="14.6" style="1481" customWidth="1"/>
    <col min="13063" max="13063" width="9.1" style="1481" customWidth="1"/>
    <col min="13064" max="13064" width="11.1" style="1481" customWidth="1"/>
    <col min="13065" max="13317" width="9" style="1481"/>
    <col min="13318" max="13318" width="14.6" style="1481" customWidth="1"/>
    <col min="13319" max="13319" width="9.1" style="1481" customWidth="1"/>
    <col min="13320" max="13320" width="11.1" style="1481" customWidth="1"/>
    <col min="13321" max="13573" width="9" style="1481"/>
    <col min="13574" max="13574" width="14.6" style="1481" customWidth="1"/>
    <col min="13575" max="13575" width="9.1" style="1481" customWidth="1"/>
    <col min="13576" max="13576" width="11.1" style="1481" customWidth="1"/>
    <col min="13577" max="13829" width="9" style="1481"/>
    <col min="13830" max="13830" width="14.6" style="1481" customWidth="1"/>
    <col min="13831" max="13831" width="9.1" style="1481" customWidth="1"/>
    <col min="13832" max="13832" width="11.1" style="1481" customWidth="1"/>
    <col min="13833" max="14085" width="9" style="1481"/>
    <col min="14086" max="14086" width="14.6" style="1481" customWidth="1"/>
    <col min="14087" max="14087" width="9.1" style="1481" customWidth="1"/>
    <col min="14088" max="14088" width="11.1" style="1481" customWidth="1"/>
    <col min="14089" max="14341" width="9" style="1481"/>
    <col min="14342" max="14342" width="14.6" style="1481" customWidth="1"/>
    <col min="14343" max="14343" width="9.1" style="1481" customWidth="1"/>
    <col min="14344" max="14344" width="11.1" style="1481" customWidth="1"/>
    <col min="14345" max="14597" width="9" style="1481"/>
    <col min="14598" max="14598" width="14.6" style="1481" customWidth="1"/>
    <col min="14599" max="14599" width="9.1" style="1481" customWidth="1"/>
    <col min="14600" max="14600" width="11.1" style="1481" customWidth="1"/>
    <col min="14601" max="14853" width="9" style="1481"/>
    <col min="14854" max="14854" width="14.6" style="1481" customWidth="1"/>
    <col min="14855" max="14855" width="9.1" style="1481" customWidth="1"/>
    <col min="14856" max="14856" width="11.1" style="1481" customWidth="1"/>
    <col min="14857" max="15109" width="9" style="1481"/>
    <col min="15110" max="15110" width="14.6" style="1481" customWidth="1"/>
    <col min="15111" max="15111" width="9.1" style="1481" customWidth="1"/>
    <col min="15112" max="15112" width="11.1" style="1481" customWidth="1"/>
    <col min="15113" max="15365" width="9" style="1481"/>
    <col min="15366" max="15366" width="14.6" style="1481" customWidth="1"/>
    <col min="15367" max="15367" width="9.1" style="1481" customWidth="1"/>
    <col min="15368" max="15368" width="11.1" style="1481" customWidth="1"/>
    <col min="15369" max="15621" width="9" style="1481"/>
    <col min="15622" max="15622" width="14.6" style="1481" customWidth="1"/>
    <col min="15623" max="15623" width="9.1" style="1481" customWidth="1"/>
    <col min="15624" max="15624" width="11.1" style="1481" customWidth="1"/>
    <col min="15625" max="15877" width="9" style="1481"/>
    <col min="15878" max="15878" width="14.6" style="1481" customWidth="1"/>
    <col min="15879" max="15879" width="9.1" style="1481" customWidth="1"/>
    <col min="15880" max="15880" width="11.1" style="1481" customWidth="1"/>
    <col min="15881" max="16133" width="9" style="1481"/>
    <col min="16134" max="16134" width="14.6" style="1481" customWidth="1"/>
    <col min="16135" max="16135" width="9.1" style="1481" customWidth="1"/>
    <col min="16136" max="16136" width="11.1" style="1481" customWidth="1"/>
    <col min="16137" max="16384" width="9" style="1481"/>
  </cols>
  <sheetData>
    <row r="1" ht="12.75" spans="1:45">
      <c r="A1" s="1483"/>
      <c r="B1" s="1484"/>
      <c r="C1" s="1484"/>
      <c r="D1" s="1451" t="s">
        <v>290</v>
      </c>
      <c r="E1" s="1451" t="s">
        <v>291</v>
      </c>
      <c r="F1" s="1451" t="s">
        <v>291</v>
      </c>
      <c r="G1" s="1451" t="s">
        <v>291</v>
      </c>
      <c r="H1" s="1451" t="s">
        <v>291</v>
      </c>
      <c r="I1" s="1451" t="s">
        <v>292</v>
      </c>
      <c r="J1" s="1451" t="s">
        <v>292</v>
      </c>
      <c r="K1" s="1451" t="s">
        <v>292</v>
      </c>
      <c r="L1" s="1451" t="s">
        <v>292</v>
      </c>
      <c r="M1" s="1451" t="s">
        <v>293</v>
      </c>
      <c r="N1" s="1451" t="s">
        <v>293</v>
      </c>
      <c r="O1" s="1451" t="s">
        <v>293</v>
      </c>
      <c r="P1" s="1451" t="s">
        <v>293</v>
      </c>
      <c r="Q1" s="1451" t="s">
        <v>294</v>
      </c>
      <c r="R1" s="1451" t="s">
        <v>294</v>
      </c>
      <c r="S1" s="1451" t="s">
        <v>294</v>
      </c>
      <c r="T1" s="1451" t="s">
        <v>294</v>
      </c>
      <c r="U1" s="1451" t="s">
        <v>295</v>
      </c>
      <c r="V1" s="1451" t="s">
        <v>295</v>
      </c>
      <c r="W1" s="1451" t="s">
        <v>295</v>
      </c>
      <c r="X1" s="1451" t="s">
        <v>295</v>
      </c>
      <c r="Y1" s="1451" t="s">
        <v>296</v>
      </c>
      <c r="Z1" s="1451" t="s">
        <v>296</v>
      </c>
      <c r="AA1" s="1451" t="s">
        <v>296</v>
      </c>
      <c r="AB1" s="1451" t="s">
        <v>296</v>
      </c>
      <c r="AC1" s="1451" t="s">
        <v>297</v>
      </c>
      <c r="AD1" s="1451" t="s">
        <v>297</v>
      </c>
      <c r="AE1" s="1451" t="s">
        <v>297</v>
      </c>
      <c r="AF1" s="1451" t="s">
        <v>297</v>
      </c>
      <c r="AG1" s="1451" t="s">
        <v>298</v>
      </c>
      <c r="AH1" s="1451" t="s">
        <v>298</v>
      </c>
      <c r="AI1" s="1451" t="s">
        <v>298</v>
      </c>
      <c r="AJ1" s="1451" t="s">
        <v>298</v>
      </c>
      <c r="AK1" s="1451" t="s">
        <v>299</v>
      </c>
      <c r="AL1" s="1451" t="s">
        <v>299</v>
      </c>
      <c r="AM1" s="1451" t="s">
        <v>299</v>
      </c>
      <c r="AN1" s="1451" t="s">
        <v>299</v>
      </c>
      <c r="AO1" s="1451" t="s">
        <v>300</v>
      </c>
      <c r="AP1" s="1451" t="s">
        <v>300</v>
      </c>
      <c r="AQ1" s="1451" t="s">
        <v>300</v>
      </c>
      <c r="AR1" s="1451" t="s">
        <v>300</v>
      </c>
      <c r="AS1" s="1451" t="s">
        <v>406</v>
      </c>
    </row>
    <row r="2" ht="12.75" spans="1:45">
      <c r="A2" s="1483"/>
      <c r="B2" s="1484"/>
      <c r="C2" s="1484" t="s">
        <v>301</v>
      </c>
      <c r="D2" s="1454" t="s">
        <v>120</v>
      </c>
      <c r="E2" s="1454" t="s">
        <v>121</v>
      </c>
      <c r="F2" s="1454" t="s">
        <v>122</v>
      </c>
      <c r="G2" s="1454" t="s">
        <v>123</v>
      </c>
      <c r="H2" s="1454" t="s">
        <v>124</v>
      </c>
      <c r="I2" s="1454" t="s">
        <v>125</v>
      </c>
      <c r="J2" s="1454" t="s">
        <v>126</v>
      </c>
      <c r="K2" s="1454" t="s">
        <v>127</v>
      </c>
      <c r="L2" s="1454" t="s">
        <v>128</v>
      </c>
      <c r="M2" s="1454" t="s">
        <v>129</v>
      </c>
      <c r="N2" s="1454" t="s">
        <v>130</v>
      </c>
      <c r="O2" s="1454" t="s">
        <v>131</v>
      </c>
      <c r="P2" s="1454" t="s">
        <v>132</v>
      </c>
      <c r="Q2" s="1454" t="s">
        <v>133</v>
      </c>
      <c r="R2" s="1454" t="s">
        <v>134</v>
      </c>
      <c r="S2" s="1454" t="s">
        <v>135</v>
      </c>
      <c r="T2" s="1454" t="s">
        <v>136</v>
      </c>
      <c r="U2" s="1454" t="s">
        <v>137</v>
      </c>
      <c r="V2" s="1454" t="s">
        <v>138</v>
      </c>
      <c r="W2" s="1454" t="s">
        <v>302</v>
      </c>
      <c r="X2" s="1454" t="s">
        <v>303</v>
      </c>
      <c r="Y2" s="1454" t="s">
        <v>271</v>
      </c>
      <c r="Z2" s="1454" t="s">
        <v>264</v>
      </c>
      <c r="AA2" s="1454" t="s">
        <v>304</v>
      </c>
      <c r="AB2" s="1454" t="s">
        <v>305</v>
      </c>
      <c r="AC2" s="1454" t="s">
        <v>306</v>
      </c>
      <c r="AD2" s="1454" t="s">
        <v>307</v>
      </c>
      <c r="AE2" s="1454" t="s">
        <v>308</v>
      </c>
      <c r="AF2" s="1454" t="s">
        <v>309</v>
      </c>
      <c r="AG2" s="1454" t="s">
        <v>310</v>
      </c>
      <c r="AH2" s="1454" t="s">
        <v>311</v>
      </c>
      <c r="AI2" s="1454" t="s">
        <v>312</v>
      </c>
      <c r="AJ2" s="1454" t="s">
        <v>313</v>
      </c>
      <c r="AK2" s="1454" t="s">
        <v>314</v>
      </c>
      <c r="AL2" s="1454" t="s">
        <v>315</v>
      </c>
      <c r="AM2" s="1454" t="s">
        <v>316</v>
      </c>
      <c r="AN2" s="1454" t="s">
        <v>317</v>
      </c>
      <c r="AO2" s="1454" t="s">
        <v>318</v>
      </c>
      <c r="AP2" s="1454" t="s">
        <v>319</v>
      </c>
      <c r="AQ2" s="1454" t="s">
        <v>320</v>
      </c>
      <c r="AR2" s="1454" t="s">
        <v>321</v>
      </c>
      <c r="AS2" s="1454" t="s">
        <v>407</v>
      </c>
    </row>
    <row r="3" spans="1:45">
      <c r="A3" s="1485" t="s">
        <v>408</v>
      </c>
      <c r="B3" s="1486" t="s">
        <v>240</v>
      </c>
      <c r="C3" s="1486">
        <v>204543.482386762</v>
      </c>
      <c r="D3" s="1486">
        <v>0</v>
      </c>
      <c r="E3" s="1486">
        <v>0</v>
      </c>
      <c r="F3" s="1486">
        <v>0</v>
      </c>
      <c r="G3" s="1486">
        <v>0</v>
      </c>
      <c r="H3" s="1486">
        <v>0</v>
      </c>
      <c r="I3" s="1486">
        <v>0</v>
      </c>
      <c r="J3" s="1486">
        <v>0</v>
      </c>
      <c r="K3" s="1486">
        <v>0</v>
      </c>
      <c r="L3" s="1486">
        <v>0</v>
      </c>
      <c r="M3" s="1486">
        <v>0</v>
      </c>
      <c r="N3" s="1486">
        <v>0</v>
      </c>
      <c r="O3" s="1486">
        <v>0</v>
      </c>
      <c r="P3" s="1486">
        <v>0</v>
      </c>
      <c r="Q3" s="1486">
        <v>0</v>
      </c>
      <c r="R3" s="1486">
        <v>0</v>
      </c>
      <c r="S3" s="1486">
        <v>0</v>
      </c>
      <c r="T3" s="1486">
        <v>0</v>
      </c>
      <c r="U3" s="1486">
        <v>94176.7411933811</v>
      </c>
      <c r="V3" s="1486">
        <v>0</v>
      </c>
      <c r="W3" s="1486">
        <v>0</v>
      </c>
      <c r="X3" s="1486">
        <v>0</v>
      </c>
      <c r="Y3" s="1486">
        <v>110366.741193381</v>
      </c>
      <c r="Z3" s="1486">
        <v>0</v>
      </c>
      <c r="AA3" s="1486">
        <v>0</v>
      </c>
      <c r="AB3" s="1486">
        <v>0</v>
      </c>
      <c r="AC3" s="1486">
        <v>0</v>
      </c>
      <c r="AD3" s="1486">
        <v>0</v>
      </c>
      <c r="AE3" s="1486">
        <v>0</v>
      </c>
      <c r="AF3" s="1486">
        <v>0</v>
      </c>
      <c r="AG3" s="1486">
        <v>0</v>
      </c>
      <c r="AH3" s="1486">
        <v>0</v>
      </c>
      <c r="AI3" s="1486">
        <v>0</v>
      </c>
      <c r="AJ3" s="1486">
        <v>0</v>
      </c>
      <c r="AK3" s="1486">
        <v>0</v>
      </c>
      <c r="AL3" s="1486">
        <v>0</v>
      </c>
      <c r="AM3" s="1486">
        <v>0</v>
      </c>
      <c r="AN3" s="1486">
        <v>0</v>
      </c>
      <c r="AO3" s="1486">
        <v>0</v>
      </c>
      <c r="AP3" s="1486">
        <v>0</v>
      </c>
      <c r="AQ3" s="1486">
        <v>0</v>
      </c>
      <c r="AR3" s="1486">
        <v>0</v>
      </c>
      <c r="AS3" s="1486">
        <v>0</v>
      </c>
    </row>
    <row r="4" spans="1:45">
      <c r="A4" s="1485"/>
      <c r="B4" s="1486" t="s">
        <v>409</v>
      </c>
      <c r="C4" s="1486">
        <v>11303.7726966532</v>
      </c>
      <c r="D4" s="1486">
        <v>0</v>
      </c>
      <c r="E4" s="1486">
        <v>0</v>
      </c>
      <c r="F4" s="1486">
        <v>0</v>
      </c>
      <c r="G4" s="1486">
        <v>0</v>
      </c>
      <c r="H4" s="1486">
        <v>0</v>
      </c>
      <c r="I4" s="1486">
        <v>0</v>
      </c>
      <c r="J4" s="1486">
        <v>0</v>
      </c>
      <c r="K4" s="1486">
        <v>0</v>
      </c>
      <c r="L4" s="1486">
        <v>0</v>
      </c>
      <c r="M4" s="1486">
        <v>0</v>
      </c>
      <c r="N4" s="1486">
        <v>0</v>
      </c>
      <c r="O4" s="1486">
        <v>0</v>
      </c>
      <c r="P4" s="1486">
        <v>0</v>
      </c>
      <c r="Q4" s="1486">
        <v>0</v>
      </c>
      <c r="R4" s="1486">
        <v>0</v>
      </c>
      <c r="S4" s="1486">
        <v>0</v>
      </c>
      <c r="T4" s="1486">
        <v>0</v>
      </c>
      <c r="U4" s="1486">
        <v>11231.3526462407</v>
      </c>
      <c r="V4" s="1486">
        <v>0</v>
      </c>
      <c r="W4" s="1486">
        <v>0</v>
      </c>
      <c r="X4" s="1486">
        <v>0</v>
      </c>
      <c r="Y4" s="1486">
        <v>11365.5692512237</v>
      </c>
      <c r="Z4" s="1486">
        <v>0</v>
      </c>
      <c r="AA4" s="1486">
        <v>0</v>
      </c>
      <c r="AB4" s="1486">
        <v>0</v>
      </c>
      <c r="AC4" s="1486">
        <v>0</v>
      </c>
      <c r="AD4" s="1486">
        <v>0</v>
      </c>
      <c r="AE4" s="1486">
        <v>0</v>
      </c>
      <c r="AF4" s="1486">
        <v>0</v>
      </c>
      <c r="AG4" s="1486">
        <v>0</v>
      </c>
      <c r="AH4" s="1486">
        <v>0</v>
      </c>
      <c r="AI4" s="1486">
        <v>0</v>
      </c>
      <c r="AJ4" s="1486">
        <v>0</v>
      </c>
      <c r="AK4" s="1486">
        <v>0</v>
      </c>
      <c r="AL4" s="1486">
        <v>0</v>
      </c>
      <c r="AM4" s="1486">
        <v>0</v>
      </c>
      <c r="AN4" s="1486">
        <v>0</v>
      </c>
      <c r="AO4" s="1486">
        <v>0</v>
      </c>
      <c r="AP4" s="1486">
        <v>0</v>
      </c>
      <c r="AQ4" s="1486">
        <v>0</v>
      </c>
      <c r="AR4" s="1486">
        <v>0</v>
      </c>
      <c r="AS4" s="1486">
        <v>0</v>
      </c>
    </row>
    <row r="5" spans="1:45">
      <c r="A5" s="1485"/>
      <c r="B5" s="1486" t="s">
        <v>410</v>
      </c>
      <c r="C5" s="1486">
        <v>231211.303148186</v>
      </c>
      <c r="D5" s="1486">
        <v>0</v>
      </c>
      <c r="E5" s="1486">
        <v>0</v>
      </c>
      <c r="F5" s="1486">
        <v>0</v>
      </c>
      <c r="G5" s="1486">
        <v>0</v>
      </c>
      <c r="H5" s="1486">
        <v>0</v>
      </c>
      <c r="I5" s="1486">
        <v>0</v>
      </c>
      <c r="J5" s="1486">
        <v>0</v>
      </c>
      <c r="K5" s="1486">
        <v>0</v>
      </c>
      <c r="L5" s="1486">
        <v>0</v>
      </c>
      <c r="M5" s="1486">
        <v>0</v>
      </c>
      <c r="N5" s="1486">
        <v>0</v>
      </c>
      <c r="O5" s="1486">
        <v>0</v>
      </c>
      <c r="P5" s="1486">
        <v>0</v>
      </c>
      <c r="Q5" s="1486">
        <v>0</v>
      </c>
      <c r="R5" s="1486">
        <v>0</v>
      </c>
      <c r="S5" s="1486">
        <v>0</v>
      </c>
      <c r="T5" s="1486">
        <v>0</v>
      </c>
      <c r="U5" s="1486">
        <v>105773.21914166</v>
      </c>
      <c r="V5" s="1486">
        <v>0</v>
      </c>
      <c r="W5" s="1486">
        <v>0</v>
      </c>
      <c r="X5" s="1486">
        <v>0</v>
      </c>
      <c r="Y5" s="1486">
        <v>125438.084006525</v>
      </c>
      <c r="Z5" s="1486">
        <v>0</v>
      </c>
      <c r="AA5" s="1486">
        <v>0</v>
      </c>
      <c r="AB5" s="1486">
        <v>0</v>
      </c>
      <c r="AC5" s="1486">
        <v>0</v>
      </c>
      <c r="AD5" s="1486">
        <v>0</v>
      </c>
      <c r="AE5" s="1486">
        <v>0</v>
      </c>
      <c r="AF5" s="1486">
        <v>0</v>
      </c>
      <c r="AG5" s="1486">
        <v>0</v>
      </c>
      <c r="AH5" s="1486">
        <v>0</v>
      </c>
      <c r="AI5" s="1486">
        <v>0</v>
      </c>
      <c r="AJ5" s="1486">
        <v>0</v>
      </c>
      <c r="AK5" s="1486">
        <v>0</v>
      </c>
      <c r="AL5" s="1486">
        <v>0</v>
      </c>
      <c r="AM5" s="1486">
        <v>0</v>
      </c>
      <c r="AN5" s="1486">
        <v>0</v>
      </c>
      <c r="AO5" s="1486">
        <v>0</v>
      </c>
      <c r="AP5" s="1486">
        <v>0</v>
      </c>
      <c r="AQ5" s="1486">
        <v>0</v>
      </c>
      <c r="AR5" s="1486">
        <v>0</v>
      </c>
      <c r="AS5" s="1486">
        <v>0</v>
      </c>
    </row>
    <row r="6" spans="1:45">
      <c r="A6" s="1487" t="s">
        <v>50</v>
      </c>
      <c r="B6" s="1484" t="s">
        <v>240</v>
      </c>
      <c r="C6" s="1484">
        <v>94176.7411933811</v>
      </c>
      <c r="D6" s="1484">
        <v>0</v>
      </c>
      <c r="E6" s="1484">
        <v>0</v>
      </c>
      <c r="F6" s="1484">
        <v>0</v>
      </c>
      <c r="G6" s="1484">
        <v>0</v>
      </c>
      <c r="H6" s="1484">
        <v>0</v>
      </c>
      <c r="I6" s="1484">
        <v>0</v>
      </c>
      <c r="J6" s="1484">
        <v>0</v>
      </c>
      <c r="K6" s="1484">
        <v>0</v>
      </c>
      <c r="L6" s="1484">
        <v>0</v>
      </c>
      <c r="M6" s="1484">
        <v>0</v>
      </c>
      <c r="N6" s="1484">
        <v>0</v>
      </c>
      <c r="O6" s="1484">
        <v>0</v>
      </c>
      <c r="P6" s="1484">
        <v>0</v>
      </c>
      <c r="Q6" s="1484">
        <v>0</v>
      </c>
      <c r="R6" s="1484">
        <v>0</v>
      </c>
      <c r="S6" s="1484">
        <v>0</v>
      </c>
      <c r="T6" s="1484">
        <v>0</v>
      </c>
      <c r="U6" s="1484">
        <v>94176.7411933811</v>
      </c>
      <c r="V6" s="1484">
        <v>0</v>
      </c>
      <c r="W6" s="1484">
        <v>0</v>
      </c>
      <c r="X6" s="1484">
        <v>0</v>
      </c>
      <c r="Y6" s="1484">
        <v>0</v>
      </c>
      <c r="Z6" s="1484">
        <v>0</v>
      </c>
      <c r="AA6" s="1484">
        <v>0</v>
      </c>
      <c r="AB6" s="1484">
        <v>0</v>
      </c>
      <c r="AC6" s="1484">
        <v>0</v>
      </c>
      <c r="AD6" s="1484">
        <v>0</v>
      </c>
      <c r="AE6" s="1484">
        <v>0</v>
      </c>
      <c r="AF6" s="1484">
        <v>0</v>
      </c>
      <c r="AG6" s="1484">
        <v>0</v>
      </c>
      <c r="AH6" s="1484">
        <v>0</v>
      </c>
      <c r="AI6" s="1484">
        <v>0</v>
      </c>
      <c r="AJ6" s="1484">
        <v>0</v>
      </c>
      <c r="AK6" s="1484">
        <v>0</v>
      </c>
      <c r="AL6" s="1484">
        <v>0</v>
      </c>
      <c r="AM6" s="1484">
        <v>0</v>
      </c>
      <c r="AN6" s="1484">
        <v>0</v>
      </c>
      <c r="AO6" s="1484">
        <v>0</v>
      </c>
      <c r="AP6" s="1484">
        <v>0</v>
      </c>
      <c r="AQ6" s="1484">
        <v>0</v>
      </c>
      <c r="AR6" s="1484">
        <v>0</v>
      </c>
      <c r="AS6" s="1484">
        <v>0</v>
      </c>
    </row>
    <row r="7" spans="1:45">
      <c r="A7" s="1487"/>
      <c r="B7" s="1484" t="s">
        <v>409</v>
      </c>
      <c r="C7" s="1484">
        <v>11231.3526462407</v>
      </c>
      <c r="D7" s="1484">
        <v>0</v>
      </c>
      <c r="E7" s="1484">
        <v>0</v>
      </c>
      <c r="F7" s="1484">
        <v>0</v>
      </c>
      <c r="G7" s="1484">
        <v>0</v>
      </c>
      <c r="H7" s="1484">
        <v>0</v>
      </c>
      <c r="I7" s="1484">
        <v>0</v>
      </c>
      <c r="J7" s="1484">
        <v>0</v>
      </c>
      <c r="K7" s="1484">
        <v>0</v>
      </c>
      <c r="L7" s="1484">
        <v>0</v>
      </c>
      <c r="M7" s="1484">
        <v>0</v>
      </c>
      <c r="N7" s="1484">
        <v>0</v>
      </c>
      <c r="O7" s="1484">
        <v>0</v>
      </c>
      <c r="P7" s="1484">
        <v>0</v>
      </c>
      <c r="Q7" s="1484">
        <v>0</v>
      </c>
      <c r="R7" s="1484">
        <v>0</v>
      </c>
      <c r="S7" s="1484">
        <v>0</v>
      </c>
      <c r="T7" s="1484">
        <v>0</v>
      </c>
      <c r="U7" s="1484">
        <v>11231.3526462407</v>
      </c>
      <c r="V7" s="1484">
        <v>0</v>
      </c>
      <c r="W7" s="1484">
        <v>0</v>
      </c>
      <c r="X7" s="1484">
        <v>0</v>
      </c>
      <c r="Y7" s="1484">
        <v>0</v>
      </c>
      <c r="Z7" s="1484">
        <v>0</v>
      </c>
      <c r="AA7" s="1484">
        <v>0</v>
      </c>
      <c r="AB7" s="1484">
        <v>0</v>
      </c>
      <c r="AC7" s="1484">
        <v>0</v>
      </c>
      <c r="AD7" s="1484">
        <v>0</v>
      </c>
      <c r="AE7" s="1484">
        <v>0</v>
      </c>
      <c r="AF7" s="1484">
        <v>0</v>
      </c>
      <c r="AG7" s="1484">
        <v>0</v>
      </c>
      <c r="AH7" s="1484">
        <v>0</v>
      </c>
      <c r="AI7" s="1484">
        <v>0</v>
      </c>
      <c r="AJ7" s="1484">
        <v>0</v>
      </c>
      <c r="AK7" s="1484">
        <v>0</v>
      </c>
      <c r="AL7" s="1484">
        <v>0</v>
      </c>
      <c r="AM7" s="1484">
        <v>0</v>
      </c>
      <c r="AN7" s="1484">
        <v>0</v>
      </c>
      <c r="AO7" s="1484">
        <v>0</v>
      </c>
      <c r="AP7" s="1484">
        <v>0</v>
      </c>
      <c r="AQ7" s="1484">
        <v>0</v>
      </c>
      <c r="AR7" s="1484">
        <v>0</v>
      </c>
      <c r="AS7" s="1484">
        <v>0</v>
      </c>
    </row>
    <row r="8" spans="1:45">
      <c r="A8" s="1487"/>
      <c r="B8" s="1484" t="s">
        <v>410</v>
      </c>
      <c r="C8" s="1484">
        <v>105773.21914166</v>
      </c>
      <c r="D8" s="1484">
        <v>0</v>
      </c>
      <c r="E8" s="1484">
        <v>0</v>
      </c>
      <c r="F8" s="1484">
        <v>0</v>
      </c>
      <c r="G8" s="1484">
        <v>0</v>
      </c>
      <c r="H8" s="1484">
        <v>0</v>
      </c>
      <c r="I8" s="1484">
        <v>0</v>
      </c>
      <c r="J8" s="1484">
        <v>0</v>
      </c>
      <c r="K8" s="1484">
        <v>0</v>
      </c>
      <c r="L8" s="1484">
        <v>0</v>
      </c>
      <c r="M8" s="1484">
        <v>0</v>
      </c>
      <c r="N8" s="1484">
        <v>0</v>
      </c>
      <c r="O8" s="1484">
        <v>0</v>
      </c>
      <c r="P8" s="1484">
        <v>0</v>
      </c>
      <c r="Q8" s="1484">
        <v>0</v>
      </c>
      <c r="R8" s="1484">
        <v>0</v>
      </c>
      <c r="S8" s="1484">
        <v>0</v>
      </c>
      <c r="T8" s="1484">
        <v>0</v>
      </c>
      <c r="U8" s="1484">
        <v>105773.21914166</v>
      </c>
      <c r="V8" s="1484">
        <v>0</v>
      </c>
      <c r="W8" s="1484">
        <v>0</v>
      </c>
      <c r="X8" s="1484">
        <v>0</v>
      </c>
      <c r="Y8" s="1484">
        <v>0</v>
      </c>
      <c r="Z8" s="1484">
        <v>0</v>
      </c>
      <c r="AA8" s="1484">
        <v>0</v>
      </c>
      <c r="AB8" s="1484">
        <v>0</v>
      </c>
      <c r="AC8" s="1484">
        <v>0</v>
      </c>
      <c r="AD8" s="1484">
        <v>0</v>
      </c>
      <c r="AE8" s="1484">
        <v>0</v>
      </c>
      <c r="AF8" s="1484">
        <v>0</v>
      </c>
      <c r="AG8" s="1484">
        <v>0</v>
      </c>
      <c r="AH8" s="1484">
        <v>0</v>
      </c>
      <c r="AI8" s="1484">
        <v>0</v>
      </c>
      <c r="AJ8" s="1484">
        <v>0</v>
      </c>
      <c r="AK8" s="1484">
        <v>0</v>
      </c>
      <c r="AL8" s="1484">
        <v>0</v>
      </c>
      <c r="AM8" s="1484">
        <v>0</v>
      </c>
      <c r="AN8" s="1484">
        <v>0</v>
      </c>
      <c r="AO8" s="1484">
        <v>0</v>
      </c>
      <c r="AP8" s="1484">
        <v>0</v>
      </c>
      <c r="AQ8" s="1484">
        <v>0</v>
      </c>
      <c r="AR8" s="1484">
        <v>0</v>
      </c>
      <c r="AS8" s="1484">
        <v>0</v>
      </c>
    </row>
    <row r="9" s="1480" customFormat="1" outlineLevel="1" spans="1:45">
      <c r="A9" s="1488" t="s">
        <v>202</v>
      </c>
      <c r="B9" s="1489" t="s">
        <v>240</v>
      </c>
      <c r="C9" s="1489">
        <v>576.741193381094</v>
      </c>
      <c r="D9" s="1490">
        <v>0</v>
      </c>
      <c r="E9" s="1490">
        <v>0</v>
      </c>
      <c r="F9" s="1490">
        <v>0</v>
      </c>
      <c r="G9" s="1490">
        <v>0</v>
      </c>
      <c r="H9" s="1490">
        <v>0</v>
      </c>
      <c r="I9" s="1490">
        <v>0</v>
      </c>
      <c r="J9" s="1490">
        <v>0</v>
      </c>
      <c r="K9" s="1490">
        <v>0</v>
      </c>
      <c r="L9" s="1490">
        <v>0</v>
      </c>
      <c r="M9" s="1490">
        <v>0</v>
      </c>
      <c r="N9" s="1490">
        <v>0</v>
      </c>
      <c r="O9" s="1490">
        <v>0</v>
      </c>
      <c r="P9" s="1490">
        <v>0</v>
      </c>
      <c r="Q9" s="1490">
        <v>0</v>
      </c>
      <c r="R9" s="1490">
        <v>0</v>
      </c>
      <c r="S9" s="1490">
        <v>0</v>
      </c>
      <c r="T9" s="1490">
        <v>0</v>
      </c>
      <c r="U9" s="1490">
        <v>576.741193381094</v>
      </c>
      <c r="V9" s="1490">
        <v>0</v>
      </c>
      <c r="W9" s="1490">
        <v>0</v>
      </c>
      <c r="X9" s="1490">
        <v>0</v>
      </c>
      <c r="Y9" s="1490">
        <v>0</v>
      </c>
      <c r="Z9" s="1490">
        <v>0</v>
      </c>
      <c r="AA9" s="1490">
        <v>0</v>
      </c>
      <c r="AB9" s="1490">
        <v>0</v>
      </c>
      <c r="AC9" s="1490">
        <v>0</v>
      </c>
      <c r="AD9" s="1490">
        <v>0</v>
      </c>
      <c r="AE9" s="1490">
        <v>0</v>
      </c>
      <c r="AF9" s="1490">
        <v>0</v>
      </c>
      <c r="AG9" s="1490">
        <v>0</v>
      </c>
      <c r="AH9" s="1490">
        <v>0</v>
      </c>
      <c r="AI9" s="1493">
        <v>0</v>
      </c>
      <c r="AJ9" s="1493">
        <v>0</v>
      </c>
      <c r="AK9" s="1493">
        <v>0</v>
      </c>
      <c r="AL9" s="1493">
        <v>0</v>
      </c>
      <c r="AM9" s="1493">
        <v>0</v>
      </c>
      <c r="AN9" s="1493">
        <v>0</v>
      </c>
      <c r="AO9" s="1493">
        <v>0</v>
      </c>
      <c r="AP9" s="1493">
        <v>0</v>
      </c>
      <c r="AQ9" s="1493">
        <v>0</v>
      </c>
      <c r="AR9" s="1493">
        <v>0</v>
      </c>
      <c r="AS9" s="1493">
        <v>0</v>
      </c>
    </row>
    <row r="10" s="1480" customFormat="1" outlineLevel="1" spans="1:45">
      <c r="A10" s="1488">
        <v>0</v>
      </c>
      <c r="B10" s="1489" t="s">
        <v>409</v>
      </c>
      <c r="C10" s="1489">
        <v>54054.0540540541</v>
      </c>
      <c r="D10" s="1490">
        <v>0</v>
      </c>
      <c r="E10" s="1490">
        <v>0</v>
      </c>
      <c r="F10" s="1490">
        <v>0</v>
      </c>
      <c r="G10" s="1490">
        <v>0</v>
      </c>
      <c r="H10" s="1490">
        <v>0</v>
      </c>
      <c r="I10" s="1490">
        <v>0</v>
      </c>
      <c r="J10" s="1490">
        <v>0</v>
      </c>
      <c r="K10" s="1490">
        <v>0</v>
      </c>
      <c r="L10" s="1490">
        <v>0</v>
      </c>
      <c r="M10" s="1490">
        <v>0</v>
      </c>
      <c r="N10" s="1490">
        <v>0</v>
      </c>
      <c r="O10" s="1490">
        <v>0</v>
      </c>
      <c r="P10" s="1490">
        <v>0</v>
      </c>
      <c r="Q10" s="1490">
        <v>0</v>
      </c>
      <c r="R10" s="1490">
        <v>0</v>
      </c>
      <c r="S10" s="1490">
        <v>0</v>
      </c>
      <c r="T10" s="1490">
        <v>0</v>
      </c>
      <c r="U10" s="1490">
        <v>54054.0540540541</v>
      </c>
      <c r="V10" s="1490">
        <v>0</v>
      </c>
      <c r="W10" s="1490">
        <v>0</v>
      </c>
      <c r="X10" s="1490">
        <v>0</v>
      </c>
      <c r="Y10" s="1490">
        <v>0</v>
      </c>
      <c r="Z10" s="1490">
        <v>0</v>
      </c>
      <c r="AA10" s="1490">
        <v>0</v>
      </c>
      <c r="AB10" s="1490">
        <v>0</v>
      </c>
      <c r="AC10" s="1490">
        <v>0</v>
      </c>
      <c r="AD10" s="1490">
        <v>0</v>
      </c>
      <c r="AE10" s="1490">
        <v>0</v>
      </c>
      <c r="AF10" s="1490">
        <v>0</v>
      </c>
      <c r="AG10" s="1490">
        <v>0</v>
      </c>
      <c r="AH10" s="1490">
        <v>0</v>
      </c>
      <c r="AI10" s="1490">
        <v>0</v>
      </c>
      <c r="AJ10" s="1494">
        <v>0</v>
      </c>
      <c r="AK10" s="1490">
        <v>0</v>
      </c>
      <c r="AL10" s="1490">
        <v>0</v>
      </c>
      <c r="AM10" s="1490">
        <v>0</v>
      </c>
      <c r="AN10" s="1490">
        <v>0</v>
      </c>
      <c r="AO10" s="1490">
        <v>0</v>
      </c>
      <c r="AP10" s="1490">
        <v>0</v>
      </c>
      <c r="AQ10" s="1490">
        <v>0</v>
      </c>
      <c r="AR10" s="1490">
        <v>0</v>
      </c>
      <c r="AS10" s="1490">
        <v>0</v>
      </c>
    </row>
    <row r="11" outlineLevel="1" spans="1:45">
      <c r="A11" s="1491">
        <v>0</v>
      </c>
      <c r="B11" s="1492" t="s">
        <v>410</v>
      </c>
      <c r="C11" s="1492">
        <v>3117.51996422213</v>
      </c>
      <c r="D11" s="1492">
        <v>0</v>
      </c>
      <c r="E11" s="1492">
        <v>0</v>
      </c>
      <c r="F11" s="1492">
        <v>0</v>
      </c>
      <c r="G11" s="1492">
        <v>0</v>
      </c>
      <c r="H11" s="1492">
        <v>0</v>
      </c>
      <c r="I11" s="1492">
        <v>0</v>
      </c>
      <c r="J11" s="1492">
        <v>0</v>
      </c>
      <c r="K11" s="1492">
        <v>0</v>
      </c>
      <c r="L11" s="1492">
        <v>0</v>
      </c>
      <c r="M11" s="1492">
        <v>0</v>
      </c>
      <c r="N11" s="1492">
        <v>0</v>
      </c>
      <c r="O11" s="1492">
        <v>0</v>
      </c>
      <c r="P11" s="1492">
        <v>0</v>
      </c>
      <c r="Q11" s="1492">
        <v>0</v>
      </c>
      <c r="R11" s="1492">
        <v>0</v>
      </c>
      <c r="S11" s="1492">
        <v>0</v>
      </c>
      <c r="T11" s="1492">
        <v>0</v>
      </c>
      <c r="U11" s="1492">
        <v>3117.51996422213</v>
      </c>
      <c r="V11" s="1492">
        <v>0</v>
      </c>
      <c r="W11" s="1492">
        <v>0</v>
      </c>
      <c r="X11" s="1492">
        <v>0</v>
      </c>
      <c r="Y11" s="1492">
        <v>0</v>
      </c>
      <c r="Z11" s="1492">
        <v>0</v>
      </c>
      <c r="AA11" s="1492">
        <v>0</v>
      </c>
      <c r="AB11" s="1492">
        <v>0</v>
      </c>
      <c r="AC11" s="1492">
        <v>0</v>
      </c>
      <c r="AD11" s="1492">
        <v>0</v>
      </c>
      <c r="AE11" s="1492">
        <v>0</v>
      </c>
      <c r="AF11" s="1492">
        <v>0</v>
      </c>
      <c r="AG11" s="1492">
        <v>0</v>
      </c>
      <c r="AH11" s="1492">
        <v>0</v>
      </c>
      <c r="AI11" s="1492">
        <v>0</v>
      </c>
      <c r="AJ11" s="1492">
        <v>0</v>
      </c>
      <c r="AK11" s="1492">
        <v>0</v>
      </c>
      <c r="AL11" s="1492">
        <v>0</v>
      </c>
      <c r="AM11" s="1492">
        <v>0</v>
      </c>
      <c r="AN11" s="1492">
        <v>0</v>
      </c>
      <c r="AO11" s="1492">
        <v>0</v>
      </c>
      <c r="AP11" s="1492">
        <v>0</v>
      </c>
      <c r="AQ11" s="1492">
        <v>0</v>
      </c>
      <c r="AR11" s="1492">
        <v>0</v>
      </c>
      <c r="AS11" s="1492">
        <v>0</v>
      </c>
    </row>
    <row r="12" s="1480" customFormat="1" outlineLevel="1" spans="1:45">
      <c r="A12" s="1488" t="s">
        <v>195</v>
      </c>
      <c r="B12" s="1489" t="s">
        <v>240</v>
      </c>
      <c r="C12" s="1489">
        <v>93600</v>
      </c>
      <c r="D12" s="1490">
        <v>0</v>
      </c>
      <c r="E12" s="1490">
        <v>0</v>
      </c>
      <c r="F12" s="1490">
        <v>0</v>
      </c>
      <c r="G12" s="1490">
        <v>0</v>
      </c>
      <c r="H12" s="1490">
        <v>0</v>
      </c>
      <c r="I12" s="1490">
        <v>0</v>
      </c>
      <c r="J12" s="1490">
        <v>0</v>
      </c>
      <c r="K12" s="1490">
        <v>0</v>
      </c>
      <c r="L12" s="1490">
        <v>0</v>
      </c>
      <c r="M12" s="1490">
        <v>0</v>
      </c>
      <c r="N12" s="1490">
        <v>0</v>
      </c>
      <c r="O12" s="1490">
        <v>0</v>
      </c>
      <c r="P12" s="1490">
        <v>0</v>
      </c>
      <c r="Q12" s="1490">
        <v>0</v>
      </c>
      <c r="R12" s="1490">
        <v>0</v>
      </c>
      <c r="S12" s="1490">
        <v>0</v>
      </c>
      <c r="T12" s="1493">
        <v>0</v>
      </c>
      <c r="U12" s="1493">
        <v>93600</v>
      </c>
      <c r="V12" s="1493">
        <v>0</v>
      </c>
      <c r="W12" s="1493">
        <v>0</v>
      </c>
      <c r="X12" s="1493">
        <v>0</v>
      </c>
      <c r="Y12" s="1493">
        <v>0</v>
      </c>
      <c r="Z12" s="1493">
        <v>0</v>
      </c>
      <c r="AA12" s="1493">
        <v>0</v>
      </c>
      <c r="AB12" s="1493">
        <v>0</v>
      </c>
      <c r="AC12" s="1493">
        <v>0</v>
      </c>
      <c r="AD12" s="1493">
        <v>0</v>
      </c>
      <c r="AE12" s="1493">
        <v>0</v>
      </c>
      <c r="AF12" s="1493">
        <v>0</v>
      </c>
      <c r="AG12" s="1493">
        <v>0</v>
      </c>
      <c r="AH12" s="1493">
        <v>0</v>
      </c>
      <c r="AI12" s="1493">
        <v>0</v>
      </c>
      <c r="AJ12" s="1493">
        <v>0</v>
      </c>
      <c r="AK12" s="1493">
        <v>0</v>
      </c>
      <c r="AL12" s="1493">
        <v>0</v>
      </c>
      <c r="AM12" s="1493">
        <v>0</v>
      </c>
      <c r="AN12" s="1493">
        <v>0</v>
      </c>
      <c r="AO12" s="1493">
        <v>0</v>
      </c>
      <c r="AP12" s="1493">
        <v>0</v>
      </c>
      <c r="AQ12" s="1493">
        <v>0</v>
      </c>
      <c r="AR12" s="1493">
        <v>0</v>
      </c>
      <c r="AS12" s="1493">
        <v>0</v>
      </c>
    </row>
    <row r="13" s="1480" customFormat="1" outlineLevel="1" spans="1:45">
      <c r="A13" s="1488">
        <v>0</v>
      </c>
      <c r="B13" s="1489" t="s">
        <v>409</v>
      </c>
      <c r="C13" s="1489">
        <v>10967.4892283588</v>
      </c>
      <c r="D13" s="1490">
        <v>0</v>
      </c>
      <c r="E13" s="1490">
        <v>0</v>
      </c>
      <c r="F13" s="1489">
        <v>0</v>
      </c>
      <c r="G13" s="1489">
        <v>0</v>
      </c>
      <c r="H13" s="1490">
        <v>0</v>
      </c>
      <c r="I13" s="1490">
        <v>0</v>
      </c>
      <c r="J13" s="1490">
        <v>0</v>
      </c>
      <c r="K13" s="1490">
        <v>0</v>
      </c>
      <c r="L13" s="1490">
        <v>0</v>
      </c>
      <c r="M13" s="1490">
        <v>0</v>
      </c>
      <c r="N13" s="1490">
        <v>0</v>
      </c>
      <c r="O13" s="1490">
        <v>0</v>
      </c>
      <c r="P13" s="1490">
        <v>0</v>
      </c>
      <c r="Q13" s="1490">
        <v>0</v>
      </c>
      <c r="R13" s="1490">
        <v>0</v>
      </c>
      <c r="S13" s="1490">
        <v>0</v>
      </c>
      <c r="T13" s="1490">
        <v>0</v>
      </c>
      <c r="U13" s="1490">
        <v>10967.4892283588</v>
      </c>
      <c r="V13" s="1490">
        <v>0</v>
      </c>
      <c r="W13" s="1490">
        <v>0</v>
      </c>
      <c r="X13" s="1490">
        <v>0</v>
      </c>
      <c r="Y13" s="1490">
        <v>0</v>
      </c>
      <c r="Z13" s="1490">
        <v>0</v>
      </c>
      <c r="AA13" s="1490">
        <v>0</v>
      </c>
      <c r="AB13" s="1490">
        <v>0</v>
      </c>
      <c r="AC13" s="1490">
        <v>0</v>
      </c>
      <c r="AD13" s="1490">
        <v>0</v>
      </c>
      <c r="AE13" s="1490">
        <v>0</v>
      </c>
      <c r="AF13" s="1490">
        <v>0</v>
      </c>
      <c r="AG13" s="1490">
        <v>0</v>
      </c>
      <c r="AH13" s="1490">
        <v>0</v>
      </c>
      <c r="AI13" s="1490">
        <v>0</v>
      </c>
      <c r="AJ13" s="1490">
        <v>0</v>
      </c>
      <c r="AK13" s="1490">
        <v>0</v>
      </c>
      <c r="AL13" s="1490">
        <v>0</v>
      </c>
      <c r="AM13" s="1490">
        <v>0</v>
      </c>
      <c r="AN13" s="1490">
        <v>0</v>
      </c>
      <c r="AO13" s="1490">
        <v>0</v>
      </c>
      <c r="AP13" s="1490">
        <v>0</v>
      </c>
      <c r="AQ13" s="1490">
        <v>0</v>
      </c>
      <c r="AR13" s="1490">
        <v>0</v>
      </c>
      <c r="AS13" s="1490">
        <v>0</v>
      </c>
    </row>
    <row r="14" outlineLevel="1" spans="1:45">
      <c r="A14" s="1491">
        <v>0</v>
      </c>
      <c r="B14" s="1492" t="s">
        <v>410</v>
      </c>
      <c r="C14" s="1492">
        <v>102655.699177438</v>
      </c>
      <c r="D14" s="1492">
        <v>0</v>
      </c>
      <c r="E14" s="1492">
        <v>0</v>
      </c>
      <c r="F14" s="1492">
        <v>0</v>
      </c>
      <c r="G14" s="1492">
        <v>0</v>
      </c>
      <c r="H14" s="1492">
        <v>0</v>
      </c>
      <c r="I14" s="1492">
        <v>0</v>
      </c>
      <c r="J14" s="1492">
        <v>0</v>
      </c>
      <c r="K14" s="1492">
        <v>0</v>
      </c>
      <c r="L14" s="1492">
        <v>0</v>
      </c>
      <c r="M14" s="1492">
        <v>0</v>
      </c>
      <c r="N14" s="1492">
        <v>0</v>
      </c>
      <c r="O14" s="1492">
        <v>0</v>
      </c>
      <c r="P14" s="1492">
        <v>0</v>
      </c>
      <c r="Q14" s="1492">
        <v>0</v>
      </c>
      <c r="R14" s="1492">
        <v>0</v>
      </c>
      <c r="S14" s="1492">
        <v>0</v>
      </c>
      <c r="T14" s="1492">
        <v>0</v>
      </c>
      <c r="U14" s="1492">
        <v>102655.699177438</v>
      </c>
      <c r="V14" s="1492">
        <v>0</v>
      </c>
      <c r="W14" s="1492">
        <v>0</v>
      </c>
      <c r="X14" s="1492">
        <v>0</v>
      </c>
      <c r="Y14" s="1492">
        <v>0</v>
      </c>
      <c r="Z14" s="1492">
        <v>0</v>
      </c>
      <c r="AA14" s="1492">
        <v>0</v>
      </c>
      <c r="AB14" s="1492">
        <v>0</v>
      </c>
      <c r="AC14" s="1492">
        <v>0</v>
      </c>
      <c r="AD14" s="1492">
        <v>0</v>
      </c>
      <c r="AE14" s="1492">
        <v>0</v>
      </c>
      <c r="AF14" s="1492">
        <v>0</v>
      </c>
      <c r="AG14" s="1492">
        <v>0</v>
      </c>
      <c r="AH14" s="1492">
        <v>0</v>
      </c>
      <c r="AI14" s="1492">
        <v>0</v>
      </c>
      <c r="AJ14" s="1492">
        <v>0</v>
      </c>
      <c r="AK14" s="1492">
        <v>0</v>
      </c>
      <c r="AL14" s="1492">
        <v>0</v>
      </c>
      <c r="AM14" s="1492">
        <v>0</v>
      </c>
      <c r="AN14" s="1492">
        <v>0</v>
      </c>
      <c r="AO14" s="1492">
        <v>0</v>
      </c>
      <c r="AP14" s="1492">
        <v>0</v>
      </c>
      <c r="AQ14" s="1492">
        <v>0</v>
      </c>
      <c r="AR14" s="1492">
        <v>0</v>
      </c>
      <c r="AS14" s="1492">
        <v>0</v>
      </c>
    </row>
    <row r="15" s="1480" customFormat="1" outlineLevel="1" spans="1:45">
      <c r="A15" s="1488" t="s">
        <v>63</v>
      </c>
      <c r="B15" s="1489" t="s">
        <v>240</v>
      </c>
      <c r="C15" s="1489">
        <v>0</v>
      </c>
      <c r="D15" s="1490">
        <v>0</v>
      </c>
      <c r="E15" s="1490">
        <v>0</v>
      </c>
      <c r="F15" s="1490">
        <v>0</v>
      </c>
      <c r="G15" s="1490">
        <v>0</v>
      </c>
      <c r="H15" s="1490">
        <v>0</v>
      </c>
      <c r="I15" s="1490">
        <v>0</v>
      </c>
      <c r="J15" s="1490">
        <v>0</v>
      </c>
      <c r="K15" s="1490">
        <v>0</v>
      </c>
      <c r="L15" s="1490">
        <v>0</v>
      </c>
      <c r="M15" s="1490">
        <v>0</v>
      </c>
      <c r="N15" s="1490">
        <v>0</v>
      </c>
      <c r="O15" s="1490">
        <v>0</v>
      </c>
      <c r="P15" s="1490">
        <v>0</v>
      </c>
      <c r="Q15" s="1490">
        <v>0</v>
      </c>
      <c r="R15" s="1490">
        <v>0</v>
      </c>
      <c r="S15" s="1490">
        <v>0</v>
      </c>
      <c r="T15" s="1490">
        <v>0</v>
      </c>
      <c r="U15" s="1490">
        <v>0</v>
      </c>
      <c r="V15" s="1490">
        <v>0</v>
      </c>
      <c r="W15" s="1490">
        <v>0</v>
      </c>
      <c r="X15" s="1490">
        <v>0</v>
      </c>
      <c r="Y15" s="1490">
        <v>0</v>
      </c>
      <c r="Z15" s="1490">
        <v>0</v>
      </c>
      <c r="AA15" s="1490">
        <v>0</v>
      </c>
      <c r="AB15" s="1490">
        <v>0</v>
      </c>
      <c r="AC15" s="1490">
        <v>0</v>
      </c>
      <c r="AD15" s="1490">
        <v>0</v>
      </c>
      <c r="AE15" s="1490">
        <v>0</v>
      </c>
      <c r="AF15" s="1490">
        <v>0</v>
      </c>
      <c r="AG15" s="1490">
        <v>0</v>
      </c>
      <c r="AH15" s="1490">
        <v>0</v>
      </c>
      <c r="AI15" s="1493">
        <v>0</v>
      </c>
      <c r="AJ15" s="1493">
        <v>0</v>
      </c>
      <c r="AK15" s="1493">
        <v>0</v>
      </c>
      <c r="AL15" s="1493">
        <v>0</v>
      </c>
      <c r="AM15" s="1493">
        <v>0</v>
      </c>
      <c r="AN15" s="1493">
        <v>0</v>
      </c>
      <c r="AO15" s="1493">
        <v>0</v>
      </c>
      <c r="AP15" s="1493">
        <v>0</v>
      </c>
      <c r="AQ15" s="1493">
        <v>0</v>
      </c>
      <c r="AR15" s="1493">
        <v>0</v>
      </c>
      <c r="AS15" s="1493">
        <v>0</v>
      </c>
    </row>
    <row r="16" s="1480" customFormat="1" outlineLevel="1" spans="1:45">
      <c r="A16" s="1488">
        <v>0</v>
      </c>
      <c r="B16" s="1489" t="s">
        <v>409</v>
      </c>
      <c r="C16" s="1489">
        <v>0</v>
      </c>
      <c r="D16" s="1490">
        <v>0</v>
      </c>
      <c r="E16" s="1490">
        <v>0</v>
      </c>
      <c r="F16" s="1490">
        <v>0</v>
      </c>
      <c r="G16" s="1490">
        <v>0</v>
      </c>
      <c r="H16" s="1490">
        <v>0</v>
      </c>
      <c r="I16" s="1490">
        <v>0</v>
      </c>
      <c r="J16" s="1490">
        <v>0</v>
      </c>
      <c r="K16" s="1490">
        <v>0</v>
      </c>
      <c r="L16" s="1490">
        <v>0</v>
      </c>
      <c r="M16" s="1490">
        <v>0</v>
      </c>
      <c r="N16" s="1490">
        <v>0</v>
      </c>
      <c r="O16" s="1490">
        <v>0</v>
      </c>
      <c r="P16" s="1490">
        <v>0</v>
      </c>
      <c r="Q16" s="1490">
        <v>0</v>
      </c>
      <c r="R16" s="1490">
        <v>0</v>
      </c>
      <c r="S16" s="1490">
        <v>0</v>
      </c>
      <c r="T16" s="1490">
        <v>0</v>
      </c>
      <c r="U16" s="1490">
        <v>0</v>
      </c>
      <c r="V16" s="1490">
        <v>0</v>
      </c>
      <c r="W16" s="1490">
        <v>0</v>
      </c>
      <c r="X16" s="1490">
        <v>0</v>
      </c>
      <c r="Y16" s="1490">
        <v>0</v>
      </c>
      <c r="Z16" s="1490">
        <v>0</v>
      </c>
      <c r="AA16" s="1490">
        <v>0</v>
      </c>
      <c r="AB16" s="1490">
        <v>0</v>
      </c>
      <c r="AC16" s="1490">
        <v>0</v>
      </c>
      <c r="AD16" s="1490">
        <v>0</v>
      </c>
      <c r="AE16" s="1490">
        <v>0</v>
      </c>
      <c r="AF16" s="1490">
        <v>0</v>
      </c>
      <c r="AG16" s="1490">
        <v>0</v>
      </c>
      <c r="AH16" s="1490">
        <v>0</v>
      </c>
      <c r="AI16" s="1490">
        <v>0</v>
      </c>
      <c r="AJ16" s="1494">
        <v>0</v>
      </c>
      <c r="AK16" s="1490">
        <v>0</v>
      </c>
      <c r="AL16" s="1490">
        <v>0</v>
      </c>
      <c r="AM16" s="1490">
        <v>0</v>
      </c>
      <c r="AN16" s="1490">
        <v>0</v>
      </c>
      <c r="AO16" s="1490">
        <v>0</v>
      </c>
      <c r="AP16" s="1490">
        <v>0</v>
      </c>
      <c r="AQ16" s="1490">
        <v>0</v>
      </c>
      <c r="AR16" s="1490">
        <v>0</v>
      </c>
      <c r="AS16" s="1490">
        <v>0</v>
      </c>
    </row>
    <row r="17" outlineLevel="1" spans="1:45">
      <c r="A17" s="1491">
        <v>0</v>
      </c>
      <c r="B17" s="1492" t="s">
        <v>410</v>
      </c>
      <c r="C17" s="1492">
        <v>0</v>
      </c>
      <c r="D17" s="1492">
        <v>0</v>
      </c>
      <c r="E17" s="1492">
        <v>0</v>
      </c>
      <c r="F17" s="1492">
        <v>0</v>
      </c>
      <c r="G17" s="1492">
        <v>0</v>
      </c>
      <c r="H17" s="1492">
        <v>0</v>
      </c>
      <c r="I17" s="1492">
        <v>0</v>
      </c>
      <c r="J17" s="1492">
        <v>0</v>
      </c>
      <c r="K17" s="1492">
        <v>0</v>
      </c>
      <c r="L17" s="1492">
        <v>0</v>
      </c>
      <c r="M17" s="1492">
        <v>0</v>
      </c>
      <c r="N17" s="1492">
        <v>0</v>
      </c>
      <c r="O17" s="1492">
        <v>0</v>
      </c>
      <c r="P17" s="1492">
        <v>0</v>
      </c>
      <c r="Q17" s="1492">
        <v>0</v>
      </c>
      <c r="R17" s="1492">
        <v>0</v>
      </c>
      <c r="S17" s="1492">
        <v>0</v>
      </c>
      <c r="T17" s="1492">
        <v>0</v>
      </c>
      <c r="U17" s="1492">
        <v>0</v>
      </c>
      <c r="V17" s="1492">
        <v>0</v>
      </c>
      <c r="W17" s="1492">
        <v>0</v>
      </c>
      <c r="X17" s="1492">
        <v>0</v>
      </c>
      <c r="Y17" s="1492">
        <v>0</v>
      </c>
      <c r="Z17" s="1492">
        <v>0</v>
      </c>
      <c r="AA17" s="1492">
        <v>0</v>
      </c>
      <c r="AB17" s="1492">
        <v>0</v>
      </c>
      <c r="AC17" s="1492">
        <v>0</v>
      </c>
      <c r="AD17" s="1492">
        <v>0</v>
      </c>
      <c r="AE17" s="1492">
        <v>0</v>
      </c>
      <c r="AF17" s="1492">
        <v>0</v>
      </c>
      <c r="AG17" s="1492">
        <v>0</v>
      </c>
      <c r="AH17" s="1492">
        <v>0</v>
      </c>
      <c r="AI17" s="1492">
        <v>0</v>
      </c>
      <c r="AJ17" s="1492">
        <v>0</v>
      </c>
      <c r="AK17" s="1492">
        <v>0</v>
      </c>
      <c r="AL17" s="1492">
        <v>0</v>
      </c>
      <c r="AM17" s="1492">
        <v>0</v>
      </c>
      <c r="AN17" s="1492">
        <v>0</v>
      </c>
      <c r="AO17" s="1492">
        <v>0</v>
      </c>
      <c r="AP17" s="1492">
        <v>0</v>
      </c>
      <c r="AQ17" s="1492">
        <v>0</v>
      </c>
      <c r="AR17" s="1492">
        <v>0</v>
      </c>
      <c r="AS17" s="1492">
        <v>0</v>
      </c>
    </row>
    <row r="18" s="1480" customFormat="1" outlineLevel="1" spans="1:45">
      <c r="A18" s="1488" t="s">
        <v>245</v>
      </c>
      <c r="B18" s="1489" t="s">
        <v>240</v>
      </c>
      <c r="C18" s="1489">
        <v>0</v>
      </c>
      <c r="D18" s="1490">
        <v>0</v>
      </c>
      <c r="E18" s="1490">
        <v>0</v>
      </c>
      <c r="F18" s="1490">
        <v>0</v>
      </c>
      <c r="G18" s="1490">
        <v>0</v>
      </c>
      <c r="H18" s="1490">
        <v>0</v>
      </c>
      <c r="I18" s="1490">
        <v>0</v>
      </c>
      <c r="J18" s="1490">
        <v>0</v>
      </c>
      <c r="K18" s="1490">
        <v>0</v>
      </c>
      <c r="L18" s="1490">
        <v>0</v>
      </c>
      <c r="M18" s="1490">
        <v>0</v>
      </c>
      <c r="N18" s="1490">
        <v>0</v>
      </c>
      <c r="O18" s="1490">
        <v>0</v>
      </c>
      <c r="P18" s="1490">
        <v>0</v>
      </c>
      <c r="Q18" s="1490">
        <v>0</v>
      </c>
      <c r="R18" s="1490">
        <v>0</v>
      </c>
      <c r="S18" s="1490">
        <v>0</v>
      </c>
      <c r="T18" s="1493">
        <v>0</v>
      </c>
      <c r="U18" s="1493">
        <v>0</v>
      </c>
      <c r="V18" s="1493">
        <v>0</v>
      </c>
      <c r="W18" s="1493">
        <v>0</v>
      </c>
      <c r="X18" s="1493">
        <v>0</v>
      </c>
      <c r="Y18" s="1493">
        <v>0</v>
      </c>
      <c r="Z18" s="1493">
        <v>0</v>
      </c>
      <c r="AA18" s="1493">
        <v>0</v>
      </c>
      <c r="AB18" s="1493">
        <v>0</v>
      </c>
      <c r="AC18" s="1493">
        <v>0</v>
      </c>
      <c r="AD18" s="1493">
        <v>0</v>
      </c>
      <c r="AE18" s="1493">
        <v>0</v>
      </c>
      <c r="AF18" s="1493">
        <v>0</v>
      </c>
      <c r="AG18" s="1493">
        <v>0</v>
      </c>
      <c r="AH18" s="1493">
        <v>0</v>
      </c>
      <c r="AI18" s="1493">
        <v>0</v>
      </c>
      <c r="AJ18" s="1493">
        <v>0</v>
      </c>
      <c r="AK18" s="1493">
        <v>0</v>
      </c>
      <c r="AL18" s="1493">
        <v>0</v>
      </c>
      <c r="AM18" s="1493">
        <v>0</v>
      </c>
      <c r="AN18" s="1493">
        <v>0</v>
      </c>
      <c r="AO18" s="1493">
        <v>0</v>
      </c>
      <c r="AP18" s="1493">
        <v>0</v>
      </c>
      <c r="AQ18" s="1493">
        <v>0</v>
      </c>
      <c r="AR18" s="1493">
        <v>0</v>
      </c>
      <c r="AS18" s="1493">
        <v>0</v>
      </c>
    </row>
    <row r="19" s="1480" customFormat="1" outlineLevel="1" spans="1:45">
      <c r="A19" s="1488">
        <v>0</v>
      </c>
      <c r="B19" s="1489" t="s">
        <v>409</v>
      </c>
      <c r="C19" s="1489">
        <v>0</v>
      </c>
      <c r="D19" s="1490">
        <v>0</v>
      </c>
      <c r="E19" s="1490">
        <v>0</v>
      </c>
      <c r="F19" s="1489">
        <v>0</v>
      </c>
      <c r="G19" s="1489">
        <v>0</v>
      </c>
      <c r="H19" s="1490">
        <v>0</v>
      </c>
      <c r="I19" s="1490">
        <v>0</v>
      </c>
      <c r="J19" s="1490">
        <v>0</v>
      </c>
      <c r="K19" s="1490">
        <v>0</v>
      </c>
      <c r="L19" s="1490">
        <v>0</v>
      </c>
      <c r="M19" s="1490">
        <v>0</v>
      </c>
      <c r="N19" s="1490">
        <v>0</v>
      </c>
      <c r="O19" s="1490">
        <v>0</v>
      </c>
      <c r="P19" s="1490">
        <v>0</v>
      </c>
      <c r="Q19" s="1490">
        <v>0</v>
      </c>
      <c r="R19" s="1490">
        <v>0</v>
      </c>
      <c r="S19" s="1490">
        <v>0</v>
      </c>
      <c r="T19" s="1490">
        <v>0</v>
      </c>
      <c r="U19" s="1490">
        <v>0</v>
      </c>
      <c r="V19" s="1490">
        <v>0</v>
      </c>
      <c r="W19" s="1490">
        <v>0</v>
      </c>
      <c r="X19" s="1490">
        <v>0</v>
      </c>
      <c r="Y19" s="1490">
        <v>0</v>
      </c>
      <c r="Z19" s="1490">
        <v>0</v>
      </c>
      <c r="AA19" s="1490">
        <v>0</v>
      </c>
      <c r="AB19" s="1490">
        <v>0</v>
      </c>
      <c r="AC19" s="1490">
        <v>0</v>
      </c>
      <c r="AD19" s="1490">
        <v>0</v>
      </c>
      <c r="AE19" s="1490">
        <v>0</v>
      </c>
      <c r="AF19" s="1490">
        <v>0</v>
      </c>
      <c r="AG19" s="1490">
        <v>0</v>
      </c>
      <c r="AH19" s="1490">
        <v>0</v>
      </c>
      <c r="AI19" s="1490">
        <v>0</v>
      </c>
      <c r="AJ19" s="1490">
        <v>0</v>
      </c>
      <c r="AK19" s="1490">
        <v>0</v>
      </c>
      <c r="AL19" s="1490">
        <v>0</v>
      </c>
      <c r="AM19" s="1490">
        <v>0</v>
      </c>
      <c r="AN19" s="1490">
        <v>0</v>
      </c>
      <c r="AO19" s="1490">
        <v>0</v>
      </c>
      <c r="AP19" s="1490">
        <v>0</v>
      </c>
      <c r="AQ19" s="1490">
        <v>0</v>
      </c>
      <c r="AR19" s="1490">
        <v>0</v>
      </c>
      <c r="AS19" s="1490">
        <v>0</v>
      </c>
    </row>
    <row r="20" outlineLevel="1" spans="1:45">
      <c r="A20" s="1491">
        <v>0</v>
      </c>
      <c r="B20" s="1492" t="s">
        <v>410</v>
      </c>
      <c r="C20" s="1492">
        <v>0</v>
      </c>
      <c r="D20" s="1492">
        <v>0</v>
      </c>
      <c r="E20" s="1492">
        <v>0</v>
      </c>
      <c r="F20" s="1492">
        <v>0</v>
      </c>
      <c r="G20" s="1492">
        <v>0</v>
      </c>
      <c r="H20" s="1492">
        <v>0</v>
      </c>
      <c r="I20" s="1492">
        <v>0</v>
      </c>
      <c r="J20" s="1492">
        <v>0</v>
      </c>
      <c r="K20" s="1492">
        <v>0</v>
      </c>
      <c r="L20" s="1492">
        <v>0</v>
      </c>
      <c r="M20" s="1492">
        <v>0</v>
      </c>
      <c r="N20" s="1492">
        <v>0</v>
      </c>
      <c r="O20" s="1492">
        <v>0</v>
      </c>
      <c r="P20" s="1492">
        <v>0</v>
      </c>
      <c r="Q20" s="1492">
        <v>0</v>
      </c>
      <c r="R20" s="1492">
        <v>0</v>
      </c>
      <c r="S20" s="1492">
        <v>0</v>
      </c>
      <c r="T20" s="1492">
        <v>0</v>
      </c>
      <c r="U20" s="1492">
        <v>0</v>
      </c>
      <c r="V20" s="1492">
        <v>0</v>
      </c>
      <c r="W20" s="1492">
        <v>0</v>
      </c>
      <c r="X20" s="1492">
        <v>0</v>
      </c>
      <c r="Y20" s="1492">
        <v>0</v>
      </c>
      <c r="Z20" s="1492">
        <v>0</v>
      </c>
      <c r="AA20" s="1492">
        <v>0</v>
      </c>
      <c r="AB20" s="1492">
        <v>0</v>
      </c>
      <c r="AC20" s="1492">
        <v>0</v>
      </c>
      <c r="AD20" s="1492">
        <v>0</v>
      </c>
      <c r="AE20" s="1492">
        <v>0</v>
      </c>
      <c r="AF20" s="1492">
        <v>0</v>
      </c>
      <c r="AG20" s="1492">
        <v>0</v>
      </c>
      <c r="AH20" s="1492">
        <v>0</v>
      </c>
      <c r="AI20" s="1492">
        <v>0</v>
      </c>
      <c r="AJ20" s="1492">
        <v>0</v>
      </c>
      <c r="AK20" s="1492">
        <v>0</v>
      </c>
      <c r="AL20" s="1492">
        <v>0</v>
      </c>
      <c r="AM20" s="1492">
        <v>0</v>
      </c>
      <c r="AN20" s="1492">
        <v>0</v>
      </c>
      <c r="AO20" s="1492">
        <v>0</v>
      </c>
      <c r="AP20" s="1492">
        <v>0</v>
      </c>
      <c r="AQ20" s="1492">
        <v>0</v>
      </c>
      <c r="AR20" s="1492">
        <v>0</v>
      </c>
      <c r="AS20" s="1492">
        <v>0</v>
      </c>
    </row>
    <row r="21" s="1480" customFormat="1" outlineLevel="1" spans="1:45">
      <c r="A21" s="1488" t="s">
        <v>199</v>
      </c>
      <c r="B21" s="1489" t="s">
        <v>240</v>
      </c>
      <c r="C21" s="1489">
        <v>0</v>
      </c>
      <c r="D21" s="1490">
        <v>0</v>
      </c>
      <c r="E21" s="1490">
        <v>0</v>
      </c>
      <c r="F21" s="1490">
        <v>0</v>
      </c>
      <c r="G21" s="1490">
        <v>0</v>
      </c>
      <c r="H21" s="1490">
        <v>0</v>
      </c>
      <c r="I21" s="1490">
        <v>0</v>
      </c>
      <c r="J21" s="1490">
        <v>0</v>
      </c>
      <c r="K21" s="1490">
        <v>0</v>
      </c>
      <c r="L21" s="1490">
        <v>0</v>
      </c>
      <c r="M21" s="1490">
        <v>0</v>
      </c>
      <c r="N21" s="1490">
        <v>0</v>
      </c>
      <c r="O21" s="1490">
        <v>0</v>
      </c>
      <c r="P21" s="1490">
        <v>0</v>
      </c>
      <c r="Q21" s="1490">
        <v>0</v>
      </c>
      <c r="R21" s="1490">
        <v>0</v>
      </c>
      <c r="S21" s="1490">
        <v>0</v>
      </c>
      <c r="T21" s="1493">
        <v>0</v>
      </c>
      <c r="U21" s="1493">
        <v>0</v>
      </c>
      <c r="V21" s="1493">
        <v>0</v>
      </c>
      <c r="W21" s="1493">
        <v>0</v>
      </c>
      <c r="X21" s="1493">
        <v>0</v>
      </c>
      <c r="Y21" s="1493">
        <v>0</v>
      </c>
      <c r="Z21" s="1493">
        <v>0</v>
      </c>
      <c r="AA21" s="1493">
        <v>0</v>
      </c>
      <c r="AB21" s="1493">
        <v>0</v>
      </c>
      <c r="AC21" s="1493">
        <v>0</v>
      </c>
      <c r="AD21" s="1493">
        <v>0</v>
      </c>
      <c r="AE21" s="1493">
        <v>0</v>
      </c>
      <c r="AF21" s="1493">
        <v>0</v>
      </c>
      <c r="AG21" s="1493">
        <v>0</v>
      </c>
      <c r="AH21" s="1493">
        <v>0</v>
      </c>
      <c r="AI21" s="1493">
        <v>0</v>
      </c>
      <c r="AJ21" s="1493">
        <v>0</v>
      </c>
      <c r="AK21" s="1493">
        <v>0</v>
      </c>
      <c r="AL21" s="1493">
        <v>0</v>
      </c>
      <c r="AM21" s="1493">
        <v>0</v>
      </c>
      <c r="AN21" s="1493">
        <v>0</v>
      </c>
      <c r="AO21" s="1493">
        <v>0</v>
      </c>
      <c r="AP21" s="1493">
        <v>0</v>
      </c>
      <c r="AQ21" s="1493">
        <v>0</v>
      </c>
      <c r="AR21" s="1493">
        <v>0</v>
      </c>
      <c r="AS21" s="1493">
        <v>0</v>
      </c>
    </row>
    <row r="22" s="1480" customFormat="1" outlineLevel="1" spans="1:45">
      <c r="A22" s="1488">
        <v>0</v>
      </c>
      <c r="B22" s="1489" t="s">
        <v>409</v>
      </c>
      <c r="C22" s="1489">
        <v>0</v>
      </c>
      <c r="D22" s="1490">
        <v>0</v>
      </c>
      <c r="E22" s="1490">
        <v>0</v>
      </c>
      <c r="F22" s="1489">
        <v>0</v>
      </c>
      <c r="G22" s="1489">
        <v>0</v>
      </c>
      <c r="H22" s="1490">
        <v>0</v>
      </c>
      <c r="I22" s="1490">
        <v>0</v>
      </c>
      <c r="J22" s="1490">
        <v>0</v>
      </c>
      <c r="K22" s="1490">
        <v>0</v>
      </c>
      <c r="L22" s="1490">
        <v>0</v>
      </c>
      <c r="M22" s="1490">
        <v>0</v>
      </c>
      <c r="N22" s="1490">
        <v>0</v>
      </c>
      <c r="O22" s="1490">
        <v>0</v>
      </c>
      <c r="P22" s="1490">
        <v>0</v>
      </c>
      <c r="Q22" s="1490">
        <v>0</v>
      </c>
      <c r="R22" s="1490">
        <v>0</v>
      </c>
      <c r="S22" s="1490">
        <v>0</v>
      </c>
      <c r="T22" s="1490">
        <v>0</v>
      </c>
      <c r="U22" s="1490">
        <v>0</v>
      </c>
      <c r="V22" s="1490">
        <v>0</v>
      </c>
      <c r="W22" s="1490">
        <v>0</v>
      </c>
      <c r="X22" s="1490">
        <v>0</v>
      </c>
      <c r="Y22" s="1490">
        <v>0</v>
      </c>
      <c r="Z22" s="1490">
        <v>0</v>
      </c>
      <c r="AA22" s="1490">
        <v>0</v>
      </c>
      <c r="AB22" s="1490">
        <v>0</v>
      </c>
      <c r="AC22" s="1490">
        <v>0</v>
      </c>
      <c r="AD22" s="1490">
        <v>0</v>
      </c>
      <c r="AE22" s="1490">
        <v>0</v>
      </c>
      <c r="AF22" s="1490">
        <v>0</v>
      </c>
      <c r="AG22" s="1490">
        <v>0</v>
      </c>
      <c r="AH22" s="1490">
        <v>0</v>
      </c>
      <c r="AI22" s="1490">
        <v>0</v>
      </c>
      <c r="AJ22" s="1490">
        <v>0</v>
      </c>
      <c r="AK22" s="1490">
        <v>0</v>
      </c>
      <c r="AL22" s="1490">
        <v>0</v>
      </c>
      <c r="AM22" s="1490">
        <v>0</v>
      </c>
      <c r="AN22" s="1490">
        <v>0</v>
      </c>
      <c r="AO22" s="1490">
        <v>0</v>
      </c>
      <c r="AP22" s="1490">
        <v>0</v>
      </c>
      <c r="AQ22" s="1490">
        <v>0</v>
      </c>
      <c r="AR22" s="1490">
        <v>0</v>
      </c>
      <c r="AS22" s="1490">
        <v>0</v>
      </c>
    </row>
    <row r="23" outlineLevel="1" spans="1:45">
      <c r="A23" s="1491">
        <v>0</v>
      </c>
      <c r="B23" s="1492" t="s">
        <v>410</v>
      </c>
      <c r="C23" s="1492">
        <v>0</v>
      </c>
      <c r="D23" s="1492">
        <v>0</v>
      </c>
      <c r="E23" s="1492">
        <v>0</v>
      </c>
      <c r="F23" s="1492">
        <v>0</v>
      </c>
      <c r="G23" s="1492">
        <v>0</v>
      </c>
      <c r="H23" s="1492">
        <v>0</v>
      </c>
      <c r="I23" s="1492">
        <v>0</v>
      </c>
      <c r="J23" s="1492">
        <v>0</v>
      </c>
      <c r="K23" s="1492">
        <v>0</v>
      </c>
      <c r="L23" s="1492">
        <v>0</v>
      </c>
      <c r="M23" s="1492">
        <v>0</v>
      </c>
      <c r="N23" s="1492">
        <v>0</v>
      </c>
      <c r="O23" s="1492">
        <v>0</v>
      </c>
      <c r="P23" s="1492">
        <v>0</v>
      </c>
      <c r="Q23" s="1492">
        <v>0</v>
      </c>
      <c r="R23" s="1492">
        <v>0</v>
      </c>
      <c r="S23" s="1492">
        <v>0</v>
      </c>
      <c r="T23" s="1492">
        <v>0</v>
      </c>
      <c r="U23" s="1492">
        <v>0</v>
      </c>
      <c r="V23" s="1492">
        <v>0</v>
      </c>
      <c r="W23" s="1492">
        <v>0</v>
      </c>
      <c r="X23" s="1492">
        <v>0</v>
      </c>
      <c r="Y23" s="1492">
        <v>0</v>
      </c>
      <c r="Z23" s="1492">
        <v>0</v>
      </c>
      <c r="AA23" s="1492">
        <v>0</v>
      </c>
      <c r="AB23" s="1492">
        <v>0</v>
      </c>
      <c r="AC23" s="1492">
        <v>0</v>
      </c>
      <c r="AD23" s="1492">
        <v>0</v>
      </c>
      <c r="AE23" s="1492">
        <v>0</v>
      </c>
      <c r="AF23" s="1492">
        <v>0</v>
      </c>
      <c r="AG23" s="1492">
        <v>0</v>
      </c>
      <c r="AH23" s="1492">
        <v>0</v>
      </c>
      <c r="AI23" s="1492">
        <v>0</v>
      </c>
      <c r="AJ23" s="1492">
        <v>0</v>
      </c>
      <c r="AK23" s="1492">
        <v>0</v>
      </c>
      <c r="AL23" s="1492">
        <v>0</v>
      </c>
      <c r="AM23" s="1492">
        <v>0</v>
      </c>
      <c r="AN23" s="1492">
        <v>0</v>
      </c>
      <c r="AO23" s="1492">
        <v>0</v>
      </c>
      <c r="AP23" s="1492">
        <v>0</v>
      </c>
      <c r="AQ23" s="1492">
        <v>0</v>
      </c>
      <c r="AR23" s="1492">
        <v>0</v>
      </c>
      <c r="AS23" s="1492">
        <v>0</v>
      </c>
    </row>
    <row r="24" spans="1:45">
      <c r="A24" s="1487" t="s">
        <v>52</v>
      </c>
      <c r="B24" s="1484" t="s">
        <v>240</v>
      </c>
      <c r="C24" s="1484">
        <v>97176.7411933811</v>
      </c>
      <c r="D24" s="1484">
        <v>0</v>
      </c>
      <c r="E24" s="1484">
        <v>0</v>
      </c>
      <c r="F24" s="1484">
        <v>0</v>
      </c>
      <c r="G24" s="1484">
        <v>0</v>
      </c>
      <c r="H24" s="1484">
        <v>0</v>
      </c>
      <c r="I24" s="1484">
        <v>0</v>
      </c>
      <c r="J24" s="1484">
        <v>0</v>
      </c>
      <c r="K24" s="1484">
        <v>0</v>
      </c>
      <c r="L24" s="1484">
        <v>0</v>
      </c>
      <c r="M24" s="1484">
        <v>0</v>
      </c>
      <c r="N24" s="1484">
        <v>0</v>
      </c>
      <c r="O24" s="1484">
        <v>0</v>
      </c>
      <c r="P24" s="1484">
        <v>0</v>
      </c>
      <c r="Q24" s="1484">
        <v>0</v>
      </c>
      <c r="R24" s="1484">
        <v>0</v>
      </c>
      <c r="S24" s="1484">
        <v>0</v>
      </c>
      <c r="T24" s="1484">
        <v>0</v>
      </c>
      <c r="U24" s="1484">
        <v>0</v>
      </c>
      <c r="V24" s="1484">
        <v>0</v>
      </c>
      <c r="W24" s="1484">
        <v>0</v>
      </c>
      <c r="X24" s="1484">
        <v>0</v>
      </c>
      <c r="Y24" s="1484">
        <v>97176.7411933811</v>
      </c>
      <c r="Z24" s="1484">
        <v>0</v>
      </c>
      <c r="AA24" s="1484">
        <v>0</v>
      </c>
      <c r="AB24" s="1484">
        <v>0</v>
      </c>
      <c r="AC24" s="1484">
        <v>0</v>
      </c>
      <c r="AD24" s="1484">
        <v>0</v>
      </c>
      <c r="AE24" s="1484">
        <v>0</v>
      </c>
      <c r="AF24" s="1484">
        <v>0</v>
      </c>
      <c r="AG24" s="1484">
        <v>0</v>
      </c>
      <c r="AH24" s="1484">
        <v>0</v>
      </c>
      <c r="AI24" s="1484">
        <v>0</v>
      </c>
      <c r="AJ24" s="1484">
        <v>0</v>
      </c>
      <c r="AK24" s="1484">
        <v>0</v>
      </c>
      <c r="AL24" s="1484">
        <v>0</v>
      </c>
      <c r="AM24" s="1484">
        <v>0</v>
      </c>
      <c r="AN24" s="1484">
        <v>0</v>
      </c>
      <c r="AO24" s="1484">
        <v>0</v>
      </c>
      <c r="AP24" s="1484">
        <v>0</v>
      </c>
      <c r="AQ24" s="1484">
        <v>0</v>
      </c>
      <c r="AR24" s="1484">
        <v>0</v>
      </c>
      <c r="AS24" s="1484">
        <v>0</v>
      </c>
    </row>
    <row r="25" spans="1:45">
      <c r="A25" s="1487"/>
      <c r="B25" s="1484" t="s">
        <v>409</v>
      </c>
      <c r="C25" s="1484">
        <v>11440.867761332</v>
      </c>
      <c r="D25" s="1484">
        <v>0</v>
      </c>
      <c r="E25" s="1484">
        <v>0</v>
      </c>
      <c r="F25" s="1484">
        <v>0</v>
      </c>
      <c r="G25" s="1484">
        <v>0</v>
      </c>
      <c r="H25" s="1484">
        <v>0</v>
      </c>
      <c r="I25" s="1484">
        <v>0</v>
      </c>
      <c r="J25" s="1484">
        <v>0</v>
      </c>
      <c r="K25" s="1484">
        <v>0</v>
      </c>
      <c r="L25" s="1484">
        <v>0</v>
      </c>
      <c r="M25" s="1484">
        <v>0</v>
      </c>
      <c r="N25" s="1484">
        <v>0</v>
      </c>
      <c r="O25" s="1484">
        <v>0</v>
      </c>
      <c r="P25" s="1484">
        <v>0</v>
      </c>
      <c r="Q25" s="1484">
        <v>0</v>
      </c>
      <c r="R25" s="1484">
        <v>0</v>
      </c>
      <c r="S25" s="1484">
        <v>0</v>
      </c>
      <c r="T25" s="1484">
        <v>0</v>
      </c>
      <c r="U25" s="1484">
        <v>0</v>
      </c>
      <c r="V25" s="1484">
        <v>0</v>
      </c>
      <c r="W25" s="1484">
        <v>0</v>
      </c>
      <c r="X25" s="1484">
        <v>0</v>
      </c>
      <c r="Y25" s="1484">
        <v>11440.867761332</v>
      </c>
      <c r="Z25" s="1484">
        <v>0</v>
      </c>
      <c r="AA25" s="1484">
        <v>0</v>
      </c>
      <c r="AB25" s="1484">
        <v>0</v>
      </c>
      <c r="AC25" s="1484">
        <v>0</v>
      </c>
      <c r="AD25" s="1484">
        <v>0</v>
      </c>
      <c r="AE25" s="1484">
        <v>0</v>
      </c>
      <c r="AF25" s="1484">
        <v>0</v>
      </c>
      <c r="AG25" s="1484">
        <v>0</v>
      </c>
      <c r="AH25" s="1484">
        <v>0</v>
      </c>
      <c r="AI25" s="1484">
        <v>0</v>
      </c>
      <c r="AJ25" s="1484">
        <v>0</v>
      </c>
      <c r="AK25" s="1484">
        <v>0</v>
      </c>
      <c r="AL25" s="1484">
        <v>0</v>
      </c>
      <c r="AM25" s="1484">
        <v>0</v>
      </c>
      <c r="AN25" s="1484">
        <v>0</v>
      </c>
      <c r="AO25" s="1484">
        <v>0</v>
      </c>
      <c r="AP25" s="1484">
        <v>0</v>
      </c>
      <c r="AQ25" s="1484">
        <v>0</v>
      </c>
      <c r="AR25" s="1484">
        <v>0</v>
      </c>
      <c r="AS25" s="1484">
        <v>0</v>
      </c>
    </row>
    <row r="26" spans="1:45">
      <c r="A26" s="1487"/>
      <c r="B26" s="1484" t="s">
        <v>410</v>
      </c>
      <c r="C26" s="1484">
        <v>111178.624547066</v>
      </c>
      <c r="D26" s="1484">
        <v>0</v>
      </c>
      <c r="E26" s="1484">
        <v>0</v>
      </c>
      <c r="F26" s="1484">
        <v>0</v>
      </c>
      <c r="G26" s="1484">
        <v>0</v>
      </c>
      <c r="H26" s="1484">
        <v>0</v>
      </c>
      <c r="I26" s="1484">
        <v>0</v>
      </c>
      <c r="J26" s="1484">
        <v>0</v>
      </c>
      <c r="K26" s="1484">
        <v>0</v>
      </c>
      <c r="L26" s="1484">
        <v>0</v>
      </c>
      <c r="M26" s="1484">
        <v>0</v>
      </c>
      <c r="N26" s="1484">
        <v>0</v>
      </c>
      <c r="O26" s="1484">
        <v>0</v>
      </c>
      <c r="P26" s="1484">
        <v>0</v>
      </c>
      <c r="Q26" s="1484">
        <v>0</v>
      </c>
      <c r="R26" s="1484">
        <v>0</v>
      </c>
      <c r="S26" s="1484">
        <v>0</v>
      </c>
      <c r="T26" s="1484">
        <v>0</v>
      </c>
      <c r="U26" s="1484">
        <v>0</v>
      </c>
      <c r="V26" s="1484">
        <v>0</v>
      </c>
      <c r="W26" s="1484">
        <v>0</v>
      </c>
      <c r="X26" s="1484">
        <v>0</v>
      </c>
      <c r="Y26" s="1484">
        <v>111178.624547066</v>
      </c>
      <c r="Z26" s="1484">
        <v>0</v>
      </c>
      <c r="AA26" s="1484">
        <v>0</v>
      </c>
      <c r="AB26" s="1484">
        <v>0</v>
      </c>
      <c r="AC26" s="1484">
        <v>0</v>
      </c>
      <c r="AD26" s="1484">
        <v>0</v>
      </c>
      <c r="AE26" s="1484">
        <v>0</v>
      </c>
      <c r="AF26" s="1484">
        <v>0</v>
      </c>
      <c r="AG26" s="1484">
        <v>0</v>
      </c>
      <c r="AH26" s="1484">
        <v>0</v>
      </c>
      <c r="AI26" s="1484">
        <v>0</v>
      </c>
      <c r="AJ26" s="1484">
        <v>0</v>
      </c>
      <c r="AK26" s="1484">
        <v>0</v>
      </c>
      <c r="AL26" s="1484">
        <v>0</v>
      </c>
      <c r="AM26" s="1484">
        <v>0</v>
      </c>
      <c r="AN26" s="1484">
        <v>0</v>
      </c>
      <c r="AO26" s="1484">
        <v>0</v>
      </c>
      <c r="AP26" s="1484">
        <v>0</v>
      </c>
      <c r="AQ26" s="1484">
        <v>0</v>
      </c>
      <c r="AR26" s="1484">
        <v>0</v>
      </c>
      <c r="AS26" s="1484">
        <v>0</v>
      </c>
    </row>
    <row r="27" s="1480" customFormat="1" outlineLevel="1" spans="1:45">
      <c r="A27" s="1488" t="s">
        <v>202</v>
      </c>
      <c r="B27" s="1489" t="s">
        <v>240</v>
      </c>
      <c r="C27" s="1489">
        <v>576.741193381094</v>
      </c>
      <c r="D27" s="1490">
        <v>0</v>
      </c>
      <c r="E27" s="1490">
        <v>0</v>
      </c>
      <c r="F27" s="1490">
        <v>0</v>
      </c>
      <c r="G27" s="1490">
        <v>0</v>
      </c>
      <c r="H27" s="1490">
        <v>0</v>
      </c>
      <c r="I27" s="1490">
        <v>0</v>
      </c>
      <c r="J27" s="1490">
        <v>0</v>
      </c>
      <c r="K27" s="1490">
        <v>0</v>
      </c>
      <c r="L27" s="1490">
        <v>0</v>
      </c>
      <c r="M27" s="1490">
        <v>0</v>
      </c>
      <c r="N27" s="1490">
        <v>0</v>
      </c>
      <c r="O27" s="1490">
        <v>0</v>
      </c>
      <c r="P27" s="1490">
        <v>0</v>
      </c>
      <c r="Q27" s="1490">
        <v>0</v>
      </c>
      <c r="R27" s="1490">
        <v>0</v>
      </c>
      <c r="S27" s="1490">
        <v>0</v>
      </c>
      <c r="T27" s="1493">
        <v>0</v>
      </c>
      <c r="U27" s="1493">
        <v>0</v>
      </c>
      <c r="V27" s="1493">
        <v>0</v>
      </c>
      <c r="W27" s="1493">
        <v>0</v>
      </c>
      <c r="X27" s="1493">
        <v>0</v>
      </c>
      <c r="Y27" s="1493">
        <v>576.741193381094</v>
      </c>
      <c r="Z27" s="1493">
        <v>0</v>
      </c>
      <c r="AA27" s="1493">
        <v>0</v>
      </c>
      <c r="AB27" s="1493">
        <v>0</v>
      </c>
      <c r="AC27" s="1493">
        <v>0</v>
      </c>
      <c r="AD27" s="1493">
        <v>0</v>
      </c>
      <c r="AE27" s="1493">
        <v>0</v>
      </c>
      <c r="AF27" s="1493">
        <v>0</v>
      </c>
      <c r="AG27" s="1493">
        <v>0</v>
      </c>
      <c r="AH27" s="1493">
        <v>0</v>
      </c>
      <c r="AI27" s="1493">
        <v>0</v>
      </c>
      <c r="AJ27" s="1493">
        <v>0</v>
      </c>
      <c r="AK27" s="1493">
        <v>0</v>
      </c>
      <c r="AL27" s="1493">
        <v>0</v>
      </c>
      <c r="AM27" s="1493">
        <v>0</v>
      </c>
      <c r="AN27" s="1493">
        <v>0</v>
      </c>
      <c r="AO27" s="1493">
        <v>0</v>
      </c>
      <c r="AP27" s="1493">
        <v>0</v>
      </c>
      <c r="AQ27" s="1493">
        <v>0</v>
      </c>
      <c r="AR27" s="1493">
        <v>0</v>
      </c>
      <c r="AS27" s="1493">
        <v>0</v>
      </c>
    </row>
    <row r="28" s="1480" customFormat="1" outlineLevel="1" spans="1:45">
      <c r="A28" s="1488">
        <v>0</v>
      </c>
      <c r="B28" s="1489" t="s">
        <v>409</v>
      </c>
      <c r="C28" s="1489">
        <v>54054.0540540541</v>
      </c>
      <c r="D28" s="1490">
        <v>0</v>
      </c>
      <c r="E28" s="1490">
        <v>0</v>
      </c>
      <c r="F28" s="1489">
        <v>0</v>
      </c>
      <c r="G28" s="1489">
        <v>0</v>
      </c>
      <c r="H28" s="1490">
        <v>0</v>
      </c>
      <c r="I28" s="1490">
        <v>0</v>
      </c>
      <c r="J28" s="1490">
        <v>0</v>
      </c>
      <c r="K28" s="1490">
        <v>0</v>
      </c>
      <c r="L28" s="1490">
        <v>0</v>
      </c>
      <c r="M28" s="1490">
        <v>0</v>
      </c>
      <c r="N28" s="1490">
        <v>0</v>
      </c>
      <c r="O28" s="1490">
        <v>0</v>
      </c>
      <c r="P28" s="1490">
        <v>0</v>
      </c>
      <c r="Q28" s="1490">
        <v>0</v>
      </c>
      <c r="R28" s="1490">
        <v>0</v>
      </c>
      <c r="S28" s="1490">
        <v>0</v>
      </c>
      <c r="T28" s="1490">
        <v>0</v>
      </c>
      <c r="U28" s="1490">
        <v>0</v>
      </c>
      <c r="V28" s="1490">
        <v>0</v>
      </c>
      <c r="W28" s="1490">
        <v>0</v>
      </c>
      <c r="X28" s="1490">
        <v>0</v>
      </c>
      <c r="Y28" s="1490">
        <v>54054.0540540541</v>
      </c>
      <c r="Z28" s="1490">
        <v>0</v>
      </c>
      <c r="AA28" s="1490">
        <v>0</v>
      </c>
      <c r="AB28" s="1490">
        <v>0</v>
      </c>
      <c r="AC28" s="1490">
        <v>0</v>
      </c>
      <c r="AD28" s="1490">
        <v>0</v>
      </c>
      <c r="AE28" s="1490">
        <v>0</v>
      </c>
      <c r="AF28" s="1490">
        <v>0</v>
      </c>
      <c r="AG28" s="1490">
        <v>0</v>
      </c>
      <c r="AH28" s="1490">
        <v>0</v>
      </c>
      <c r="AI28" s="1490">
        <v>0</v>
      </c>
      <c r="AJ28" s="1490">
        <v>0</v>
      </c>
      <c r="AK28" s="1490">
        <v>0</v>
      </c>
      <c r="AL28" s="1490">
        <v>0</v>
      </c>
      <c r="AM28" s="1490">
        <v>0</v>
      </c>
      <c r="AN28" s="1490">
        <v>0</v>
      </c>
      <c r="AO28" s="1490">
        <v>0</v>
      </c>
      <c r="AP28" s="1490">
        <v>0</v>
      </c>
      <c r="AQ28" s="1490">
        <v>0</v>
      </c>
      <c r="AR28" s="1490">
        <v>0</v>
      </c>
      <c r="AS28" s="1490">
        <v>0</v>
      </c>
    </row>
    <row r="29" outlineLevel="1" spans="1:45">
      <c r="A29" s="1491">
        <v>0</v>
      </c>
      <c r="B29" s="1492" t="s">
        <v>410</v>
      </c>
      <c r="C29" s="1492">
        <v>3117.51996422213</v>
      </c>
      <c r="D29" s="1492">
        <v>0</v>
      </c>
      <c r="E29" s="1492">
        <v>0</v>
      </c>
      <c r="F29" s="1492">
        <v>0</v>
      </c>
      <c r="G29" s="1492">
        <v>0</v>
      </c>
      <c r="H29" s="1492">
        <v>0</v>
      </c>
      <c r="I29" s="1492">
        <v>0</v>
      </c>
      <c r="J29" s="1492">
        <v>0</v>
      </c>
      <c r="K29" s="1492">
        <v>0</v>
      </c>
      <c r="L29" s="1492">
        <v>0</v>
      </c>
      <c r="M29" s="1492">
        <v>0</v>
      </c>
      <c r="N29" s="1492">
        <v>0</v>
      </c>
      <c r="O29" s="1492">
        <v>0</v>
      </c>
      <c r="P29" s="1492">
        <v>0</v>
      </c>
      <c r="Q29" s="1492">
        <v>0</v>
      </c>
      <c r="R29" s="1492">
        <v>0</v>
      </c>
      <c r="S29" s="1492">
        <v>0</v>
      </c>
      <c r="T29" s="1492">
        <v>0</v>
      </c>
      <c r="U29" s="1492">
        <v>0</v>
      </c>
      <c r="V29" s="1492">
        <v>0</v>
      </c>
      <c r="W29" s="1492">
        <v>0</v>
      </c>
      <c r="X29" s="1492">
        <v>0</v>
      </c>
      <c r="Y29" s="1492">
        <v>3117.51996422213</v>
      </c>
      <c r="Z29" s="1492">
        <v>0</v>
      </c>
      <c r="AA29" s="1492">
        <v>0</v>
      </c>
      <c r="AB29" s="1492">
        <v>0</v>
      </c>
      <c r="AC29" s="1492">
        <v>0</v>
      </c>
      <c r="AD29" s="1492">
        <v>0</v>
      </c>
      <c r="AE29" s="1492">
        <v>0</v>
      </c>
      <c r="AF29" s="1492">
        <v>0</v>
      </c>
      <c r="AG29" s="1492">
        <v>0</v>
      </c>
      <c r="AH29" s="1492">
        <v>0</v>
      </c>
      <c r="AI29" s="1492">
        <v>0</v>
      </c>
      <c r="AJ29" s="1492">
        <v>0</v>
      </c>
      <c r="AK29" s="1492">
        <v>0</v>
      </c>
      <c r="AL29" s="1492">
        <v>0</v>
      </c>
      <c r="AM29" s="1492">
        <v>0</v>
      </c>
      <c r="AN29" s="1492">
        <v>0</v>
      </c>
      <c r="AO29" s="1492">
        <v>0</v>
      </c>
      <c r="AP29" s="1492">
        <v>0</v>
      </c>
      <c r="AQ29" s="1492">
        <v>0</v>
      </c>
      <c r="AR29" s="1492">
        <v>0</v>
      </c>
      <c r="AS29" s="1492">
        <v>0</v>
      </c>
    </row>
    <row r="30" s="1480" customFormat="1" outlineLevel="1" spans="1:45">
      <c r="A30" s="1488" t="s">
        <v>195</v>
      </c>
      <c r="B30" s="1489" t="s">
        <v>240</v>
      </c>
      <c r="C30" s="1489">
        <v>93600</v>
      </c>
      <c r="D30" s="1490">
        <v>0</v>
      </c>
      <c r="E30" s="1490">
        <v>0</v>
      </c>
      <c r="F30" s="1490">
        <v>0</v>
      </c>
      <c r="G30" s="1490">
        <v>0</v>
      </c>
      <c r="H30" s="1490">
        <v>0</v>
      </c>
      <c r="I30" s="1490">
        <v>0</v>
      </c>
      <c r="J30" s="1490">
        <v>0</v>
      </c>
      <c r="K30" s="1490">
        <v>0</v>
      </c>
      <c r="L30" s="1490">
        <v>0</v>
      </c>
      <c r="M30" s="1490">
        <v>0</v>
      </c>
      <c r="N30" s="1490">
        <v>0</v>
      </c>
      <c r="O30" s="1490">
        <v>0</v>
      </c>
      <c r="P30" s="1490">
        <v>0</v>
      </c>
      <c r="Q30" s="1490">
        <v>0</v>
      </c>
      <c r="R30" s="1490">
        <v>0</v>
      </c>
      <c r="S30" s="1490">
        <v>0</v>
      </c>
      <c r="T30" s="1493">
        <v>0</v>
      </c>
      <c r="U30" s="1493">
        <v>0</v>
      </c>
      <c r="V30" s="1493">
        <v>0</v>
      </c>
      <c r="W30" s="1493">
        <v>0</v>
      </c>
      <c r="X30" s="1493">
        <v>0</v>
      </c>
      <c r="Y30" s="1493">
        <v>93600</v>
      </c>
      <c r="Z30" s="1493">
        <v>0</v>
      </c>
      <c r="AA30" s="1493">
        <v>0</v>
      </c>
      <c r="AB30" s="1493">
        <v>0</v>
      </c>
      <c r="AC30" s="1493">
        <v>0</v>
      </c>
      <c r="AD30" s="1493">
        <v>0</v>
      </c>
      <c r="AE30" s="1493">
        <v>0</v>
      </c>
      <c r="AF30" s="1493">
        <v>0</v>
      </c>
      <c r="AG30" s="1493">
        <v>0</v>
      </c>
      <c r="AH30" s="1493">
        <v>0</v>
      </c>
      <c r="AI30" s="1493">
        <v>0</v>
      </c>
      <c r="AJ30" s="1493">
        <v>0</v>
      </c>
      <c r="AK30" s="1493">
        <v>0</v>
      </c>
      <c r="AL30" s="1493">
        <v>0</v>
      </c>
      <c r="AM30" s="1493">
        <v>0</v>
      </c>
      <c r="AN30" s="1493">
        <v>0</v>
      </c>
      <c r="AO30" s="1493">
        <v>0</v>
      </c>
      <c r="AP30" s="1493">
        <v>0</v>
      </c>
      <c r="AQ30" s="1493">
        <v>0</v>
      </c>
      <c r="AR30" s="1493">
        <v>0</v>
      </c>
      <c r="AS30" s="1493">
        <v>0</v>
      </c>
    </row>
    <row r="31" s="1480" customFormat="1" outlineLevel="1" spans="1:45">
      <c r="A31" s="1488">
        <v>0</v>
      </c>
      <c r="B31" s="1489" t="s">
        <v>409</v>
      </c>
      <c r="C31" s="1489">
        <v>10967.4892283588</v>
      </c>
      <c r="D31" s="1490">
        <v>0</v>
      </c>
      <c r="E31" s="1490">
        <v>0</v>
      </c>
      <c r="F31" s="1489">
        <v>0</v>
      </c>
      <c r="G31" s="1489">
        <v>0</v>
      </c>
      <c r="H31" s="1490">
        <v>0</v>
      </c>
      <c r="I31" s="1490">
        <v>0</v>
      </c>
      <c r="J31" s="1490">
        <v>0</v>
      </c>
      <c r="K31" s="1490">
        <v>0</v>
      </c>
      <c r="L31" s="1490">
        <v>0</v>
      </c>
      <c r="M31" s="1490">
        <v>0</v>
      </c>
      <c r="N31" s="1490">
        <v>0</v>
      </c>
      <c r="O31" s="1490">
        <v>0</v>
      </c>
      <c r="P31" s="1490">
        <v>0</v>
      </c>
      <c r="Q31" s="1490">
        <v>0</v>
      </c>
      <c r="R31" s="1490">
        <v>0</v>
      </c>
      <c r="S31" s="1490">
        <v>0</v>
      </c>
      <c r="T31" s="1490">
        <v>0</v>
      </c>
      <c r="U31" s="1490">
        <v>0</v>
      </c>
      <c r="V31" s="1490">
        <v>0</v>
      </c>
      <c r="W31" s="1490">
        <v>0</v>
      </c>
      <c r="X31" s="1490">
        <v>0</v>
      </c>
      <c r="Y31" s="1490">
        <v>10967.4892283588</v>
      </c>
      <c r="Z31" s="1490">
        <v>0</v>
      </c>
      <c r="AA31" s="1490">
        <v>0</v>
      </c>
      <c r="AB31" s="1490">
        <v>0</v>
      </c>
      <c r="AC31" s="1490">
        <v>0</v>
      </c>
      <c r="AD31" s="1490">
        <v>0</v>
      </c>
      <c r="AE31" s="1490">
        <v>0</v>
      </c>
      <c r="AF31" s="1490">
        <v>0</v>
      </c>
      <c r="AG31" s="1490">
        <v>0</v>
      </c>
      <c r="AH31" s="1490">
        <v>0</v>
      </c>
      <c r="AI31" s="1490">
        <v>0</v>
      </c>
      <c r="AJ31" s="1490">
        <v>0</v>
      </c>
      <c r="AK31" s="1490">
        <v>0</v>
      </c>
      <c r="AL31" s="1490">
        <v>0</v>
      </c>
      <c r="AM31" s="1490">
        <v>0</v>
      </c>
      <c r="AN31" s="1490">
        <v>0</v>
      </c>
      <c r="AO31" s="1490">
        <v>0</v>
      </c>
      <c r="AP31" s="1490">
        <v>0</v>
      </c>
      <c r="AQ31" s="1490">
        <v>0</v>
      </c>
      <c r="AR31" s="1490">
        <v>0</v>
      </c>
      <c r="AS31" s="1490">
        <v>0</v>
      </c>
    </row>
    <row r="32" outlineLevel="1" spans="1:45">
      <c r="A32" s="1491">
        <v>0</v>
      </c>
      <c r="B32" s="1492" t="s">
        <v>410</v>
      </c>
      <c r="C32" s="1492">
        <v>102655.699177438</v>
      </c>
      <c r="D32" s="1492">
        <v>0</v>
      </c>
      <c r="E32" s="1492">
        <v>0</v>
      </c>
      <c r="F32" s="1492">
        <v>0</v>
      </c>
      <c r="G32" s="1492">
        <v>0</v>
      </c>
      <c r="H32" s="1492">
        <v>0</v>
      </c>
      <c r="I32" s="1492">
        <v>0</v>
      </c>
      <c r="J32" s="1492">
        <v>0</v>
      </c>
      <c r="K32" s="1492">
        <v>0</v>
      </c>
      <c r="L32" s="1492">
        <v>0</v>
      </c>
      <c r="M32" s="1492">
        <v>0</v>
      </c>
      <c r="N32" s="1492">
        <v>0</v>
      </c>
      <c r="O32" s="1492">
        <v>0</v>
      </c>
      <c r="P32" s="1492">
        <v>0</v>
      </c>
      <c r="Q32" s="1492">
        <v>0</v>
      </c>
      <c r="R32" s="1492">
        <v>0</v>
      </c>
      <c r="S32" s="1492">
        <v>0</v>
      </c>
      <c r="T32" s="1492">
        <v>0</v>
      </c>
      <c r="U32" s="1492">
        <v>0</v>
      </c>
      <c r="V32" s="1492">
        <v>0</v>
      </c>
      <c r="W32" s="1492">
        <v>0</v>
      </c>
      <c r="X32" s="1492">
        <v>0</v>
      </c>
      <c r="Y32" s="1492">
        <v>102655.699177438</v>
      </c>
      <c r="Z32" s="1492">
        <v>0</v>
      </c>
      <c r="AA32" s="1492">
        <v>0</v>
      </c>
      <c r="AB32" s="1492">
        <v>0</v>
      </c>
      <c r="AC32" s="1492">
        <v>0</v>
      </c>
      <c r="AD32" s="1492">
        <v>0</v>
      </c>
      <c r="AE32" s="1492">
        <v>0</v>
      </c>
      <c r="AF32" s="1492">
        <v>0</v>
      </c>
      <c r="AG32" s="1492">
        <v>0</v>
      </c>
      <c r="AH32" s="1492">
        <v>0</v>
      </c>
      <c r="AI32" s="1492">
        <v>0</v>
      </c>
      <c r="AJ32" s="1492">
        <v>0</v>
      </c>
      <c r="AK32" s="1492">
        <v>0</v>
      </c>
      <c r="AL32" s="1492">
        <v>0</v>
      </c>
      <c r="AM32" s="1492">
        <v>0</v>
      </c>
      <c r="AN32" s="1492">
        <v>0</v>
      </c>
      <c r="AO32" s="1492">
        <v>0</v>
      </c>
      <c r="AP32" s="1492">
        <v>0</v>
      </c>
      <c r="AQ32" s="1492">
        <v>0</v>
      </c>
      <c r="AR32" s="1492">
        <v>0</v>
      </c>
      <c r="AS32" s="1492">
        <v>0</v>
      </c>
    </row>
    <row r="33" s="1480" customFormat="1" outlineLevel="1" spans="1:45">
      <c r="A33" s="1488" t="s">
        <v>63</v>
      </c>
      <c r="B33" s="1489" t="s">
        <v>240</v>
      </c>
      <c r="C33" s="1489">
        <v>0</v>
      </c>
      <c r="D33" s="1490">
        <v>0</v>
      </c>
      <c r="E33" s="1490">
        <v>0</v>
      </c>
      <c r="F33" s="1490">
        <v>0</v>
      </c>
      <c r="G33" s="1490">
        <v>0</v>
      </c>
      <c r="H33" s="1490">
        <v>0</v>
      </c>
      <c r="I33" s="1490">
        <v>0</v>
      </c>
      <c r="J33" s="1490">
        <v>0</v>
      </c>
      <c r="K33" s="1490">
        <v>0</v>
      </c>
      <c r="L33" s="1490">
        <v>0</v>
      </c>
      <c r="M33" s="1490">
        <v>0</v>
      </c>
      <c r="N33" s="1490">
        <v>0</v>
      </c>
      <c r="O33" s="1490">
        <v>0</v>
      </c>
      <c r="P33" s="1490">
        <v>0</v>
      </c>
      <c r="Q33" s="1490">
        <v>0</v>
      </c>
      <c r="R33" s="1490">
        <v>0</v>
      </c>
      <c r="S33" s="1490">
        <v>0</v>
      </c>
      <c r="T33" s="1493">
        <v>0</v>
      </c>
      <c r="U33" s="1493">
        <v>0</v>
      </c>
      <c r="V33" s="1493">
        <v>0</v>
      </c>
      <c r="W33" s="1493">
        <v>0</v>
      </c>
      <c r="X33" s="1493">
        <v>0</v>
      </c>
      <c r="Y33" s="1493">
        <v>0</v>
      </c>
      <c r="Z33" s="1493">
        <v>0</v>
      </c>
      <c r="AA33" s="1493">
        <v>0</v>
      </c>
      <c r="AB33" s="1493">
        <v>0</v>
      </c>
      <c r="AC33" s="1493">
        <v>0</v>
      </c>
      <c r="AD33" s="1493">
        <v>0</v>
      </c>
      <c r="AE33" s="1493">
        <v>0</v>
      </c>
      <c r="AF33" s="1493">
        <v>0</v>
      </c>
      <c r="AG33" s="1493">
        <v>0</v>
      </c>
      <c r="AH33" s="1493">
        <v>0</v>
      </c>
      <c r="AI33" s="1493">
        <v>0</v>
      </c>
      <c r="AJ33" s="1493">
        <v>0</v>
      </c>
      <c r="AK33" s="1493">
        <v>0</v>
      </c>
      <c r="AL33" s="1493">
        <v>0</v>
      </c>
      <c r="AM33" s="1493">
        <v>0</v>
      </c>
      <c r="AN33" s="1493">
        <v>0</v>
      </c>
      <c r="AO33" s="1493">
        <v>0</v>
      </c>
      <c r="AP33" s="1493">
        <v>0</v>
      </c>
      <c r="AQ33" s="1493">
        <v>0</v>
      </c>
      <c r="AR33" s="1493">
        <v>0</v>
      </c>
      <c r="AS33" s="1493">
        <v>0</v>
      </c>
    </row>
    <row r="34" s="1480" customFormat="1" outlineLevel="1" spans="1:45">
      <c r="A34" s="1488">
        <v>0</v>
      </c>
      <c r="B34" s="1489" t="s">
        <v>409</v>
      </c>
      <c r="C34" s="1489">
        <v>0</v>
      </c>
      <c r="D34" s="1490">
        <v>0</v>
      </c>
      <c r="E34" s="1490">
        <v>0</v>
      </c>
      <c r="F34" s="1489">
        <v>0</v>
      </c>
      <c r="G34" s="1489">
        <v>0</v>
      </c>
      <c r="H34" s="1490">
        <v>0</v>
      </c>
      <c r="I34" s="1490">
        <v>0</v>
      </c>
      <c r="J34" s="1490">
        <v>0</v>
      </c>
      <c r="K34" s="1490">
        <v>0</v>
      </c>
      <c r="L34" s="1490">
        <v>0</v>
      </c>
      <c r="M34" s="1490">
        <v>0</v>
      </c>
      <c r="N34" s="1490">
        <v>0</v>
      </c>
      <c r="O34" s="1490">
        <v>0</v>
      </c>
      <c r="P34" s="1490">
        <v>0</v>
      </c>
      <c r="Q34" s="1490">
        <v>0</v>
      </c>
      <c r="R34" s="1490">
        <v>0</v>
      </c>
      <c r="S34" s="1490">
        <v>0</v>
      </c>
      <c r="T34" s="1490">
        <v>0</v>
      </c>
      <c r="U34" s="1490">
        <v>0</v>
      </c>
      <c r="V34" s="1490">
        <v>0</v>
      </c>
      <c r="W34" s="1490">
        <v>0</v>
      </c>
      <c r="X34" s="1490">
        <v>0</v>
      </c>
      <c r="Y34" s="1490">
        <v>0</v>
      </c>
      <c r="Z34" s="1490">
        <v>0</v>
      </c>
      <c r="AA34" s="1490">
        <v>0</v>
      </c>
      <c r="AB34" s="1490">
        <v>0</v>
      </c>
      <c r="AC34" s="1490">
        <v>0</v>
      </c>
      <c r="AD34" s="1490">
        <v>0</v>
      </c>
      <c r="AE34" s="1490">
        <v>0</v>
      </c>
      <c r="AF34" s="1490">
        <v>0</v>
      </c>
      <c r="AG34" s="1490">
        <v>0</v>
      </c>
      <c r="AH34" s="1490">
        <v>0</v>
      </c>
      <c r="AI34" s="1490">
        <v>0</v>
      </c>
      <c r="AJ34" s="1490">
        <v>0</v>
      </c>
      <c r="AK34" s="1490">
        <v>0</v>
      </c>
      <c r="AL34" s="1490">
        <v>0</v>
      </c>
      <c r="AM34" s="1490">
        <v>0</v>
      </c>
      <c r="AN34" s="1490">
        <v>0</v>
      </c>
      <c r="AO34" s="1490">
        <v>0</v>
      </c>
      <c r="AP34" s="1490">
        <v>0</v>
      </c>
      <c r="AQ34" s="1490">
        <v>0</v>
      </c>
      <c r="AR34" s="1490">
        <v>0</v>
      </c>
      <c r="AS34" s="1490">
        <v>0</v>
      </c>
    </row>
    <row r="35" outlineLevel="1" spans="1:45">
      <c r="A35" s="1491">
        <v>0</v>
      </c>
      <c r="B35" s="1492" t="s">
        <v>410</v>
      </c>
      <c r="C35" s="1492">
        <v>0</v>
      </c>
      <c r="D35" s="1492">
        <v>0</v>
      </c>
      <c r="E35" s="1492">
        <v>0</v>
      </c>
      <c r="F35" s="1492">
        <v>0</v>
      </c>
      <c r="G35" s="1492">
        <v>0</v>
      </c>
      <c r="H35" s="1492">
        <v>0</v>
      </c>
      <c r="I35" s="1492">
        <v>0</v>
      </c>
      <c r="J35" s="1492">
        <v>0</v>
      </c>
      <c r="K35" s="1492">
        <v>0</v>
      </c>
      <c r="L35" s="1492">
        <v>0</v>
      </c>
      <c r="M35" s="1492">
        <v>0</v>
      </c>
      <c r="N35" s="1492">
        <v>0</v>
      </c>
      <c r="O35" s="1492">
        <v>0</v>
      </c>
      <c r="P35" s="1492">
        <v>0</v>
      </c>
      <c r="Q35" s="1492">
        <v>0</v>
      </c>
      <c r="R35" s="1492">
        <v>0</v>
      </c>
      <c r="S35" s="1492">
        <v>0</v>
      </c>
      <c r="T35" s="1492">
        <v>0</v>
      </c>
      <c r="U35" s="1492">
        <v>0</v>
      </c>
      <c r="V35" s="1492">
        <v>0</v>
      </c>
      <c r="W35" s="1492">
        <v>0</v>
      </c>
      <c r="X35" s="1492">
        <v>0</v>
      </c>
      <c r="Y35" s="1492">
        <v>0</v>
      </c>
      <c r="Z35" s="1492">
        <v>0</v>
      </c>
      <c r="AA35" s="1492">
        <v>0</v>
      </c>
      <c r="AB35" s="1492">
        <v>0</v>
      </c>
      <c r="AC35" s="1492">
        <v>0</v>
      </c>
      <c r="AD35" s="1492">
        <v>0</v>
      </c>
      <c r="AE35" s="1492">
        <v>0</v>
      </c>
      <c r="AF35" s="1492">
        <v>0</v>
      </c>
      <c r="AG35" s="1492">
        <v>0</v>
      </c>
      <c r="AH35" s="1492">
        <v>0</v>
      </c>
      <c r="AI35" s="1492">
        <v>0</v>
      </c>
      <c r="AJ35" s="1492">
        <v>0</v>
      </c>
      <c r="AK35" s="1492">
        <v>0</v>
      </c>
      <c r="AL35" s="1492">
        <v>0</v>
      </c>
      <c r="AM35" s="1492">
        <v>0</v>
      </c>
      <c r="AN35" s="1492">
        <v>0</v>
      </c>
      <c r="AO35" s="1492">
        <v>0</v>
      </c>
      <c r="AP35" s="1492">
        <v>0</v>
      </c>
      <c r="AQ35" s="1492">
        <v>0</v>
      </c>
      <c r="AR35" s="1492">
        <v>0</v>
      </c>
      <c r="AS35" s="1492">
        <v>0</v>
      </c>
    </row>
    <row r="36" s="1480" customFormat="1" outlineLevel="1" spans="1:45">
      <c r="A36" s="1488" t="s">
        <v>245</v>
      </c>
      <c r="B36" s="1489" t="s">
        <v>240</v>
      </c>
      <c r="C36" s="1489">
        <v>0</v>
      </c>
      <c r="D36" s="1490">
        <v>0</v>
      </c>
      <c r="E36" s="1490">
        <v>0</v>
      </c>
      <c r="F36" s="1490">
        <v>0</v>
      </c>
      <c r="G36" s="1490">
        <v>0</v>
      </c>
      <c r="H36" s="1490">
        <v>0</v>
      </c>
      <c r="I36" s="1490">
        <v>0</v>
      </c>
      <c r="J36" s="1490">
        <v>0</v>
      </c>
      <c r="K36" s="1490">
        <v>0</v>
      </c>
      <c r="L36" s="1490">
        <v>0</v>
      </c>
      <c r="M36" s="1490">
        <v>0</v>
      </c>
      <c r="N36" s="1490">
        <v>0</v>
      </c>
      <c r="O36" s="1490">
        <v>0</v>
      </c>
      <c r="P36" s="1490">
        <v>0</v>
      </c>
      <c r="Q36" s="1490">
        <v>0</v>
      </c>
      <c r="R36" s="1490">
        <v>0</v>
      </c>
      <c r="S36" s="1490">
        <v>0</v>
      </c>
      <c r="T36" s="1493">
        <v>0</v>
      </c>
      <c r="U36" s="1493">
        <v>0</v>
      </c>
      <c r="V36" s="1493">
        <v>0</v>
      </c>
      <c r="W36" s="1493">
        <v>0</v>
      </c>
      <c r="X36" s="1493">
        <v>0</v>
      </c>
      <c r="Y36" s="1493">
        <v>0</v>
      </c>
      <c r="Z36" s="1493">
        <v>0</v>
      </c>
      <c r="AA36" s="1493">
        <v>0</v>
      </c>
      <c r="AB36" s="1493">
        <v>0</v>
      </c>
      <c r="AC36" s="1493">
        <v>0</v>
      </c>
      <c r="AD36" s="1493">
        <v>0</v>
      </c>
      <c r="AE36" s="1493">
        <v>0</v>
      </c>
      <c r="AF36" s="1493">
        <v>0</v>
      </c>
      <c r="AG36" s="1493">
        <v>0</v>
      </c>
      <c r="AH36" s="1493">
        <v>0</v>
      </c>
      <c r="AI36" s="1493">
        <v>0</v>
      </c>
      <c r="AJ36" s="1493">
        <v>0</v>
      </c>
      <c r="AK36" s="1493">
        <v>0</v>
      </c>
      <c r="AL36" s="1493">
        <v>0</v>
      </c>
      <c r="AM36" s="1493">
        <v>0</v>
      </c>
      <c r="AN36" s="1493">
        <v>0</v>
      </c>
      <c r="AO36" s="1493">
        <v>0</v>
      </c>
      <c r="AP36" s="1493">
        <v>0</v>
      </c>
      <c r="AQ36" s="1493">
        <v>0</v>
      </c>
      <c r="AR36" s="1493">
        <v>0</v>
      </c>
      <c r="AS36" s="1493">
        <v>0</v>
      </c>
    </row>
    <row r="37" s="1480" customFormat="1" outlineLevel="1" spans="1:45">
      <c r="A37" s="1488">
        <v>0</v>
      </c>
      <c r="B37" s="1489" t="s">
        <v>409</v>
      </c>
      <c r="C37" s="1489">
        <v>0</v>
      </c>
      <c r="D37" s="1490">
        <v>0</v>
      </c>
      <c r="E37" s="1490">
        <v>0</v>
      </c>
      <c r="F37" s="1489">
        <v>0</v>
      </c>
      <c r="G37" s="1489">
        <v>0</v>
      </c>
      <c r="H37" s="1490">
        <v>0</v>
      </c>
      <c r="I37" s="1490">
        <v>0</v>
      </c>
      <c r="J37" s="1490">
        <v>0</v>
      </c>
      <c r="K37" s="1490">
        <v>0</v>
      </c>
      <c r="L37" s="1490">
        <v>0</v>
      </c>
      <c r="M37" s="1490">
        <v>0</v>
      </c>
      <c r="N37" s="1490">
        <v>0</v>
      </c>
      <c r="O37" s="1490">
        <v>0</v>
      </c>
      <c r="P37" s="1490">
        <v>0</v>
      </c>
      <c r="Q37" s="1490">
        <v>0</v>
      </c>
      <c r="R37" s="1490">
        <v>0</v>
      </c>
      <c r="S37" s="1490">
        <v>0</v>
      </c>
      <c r="T37" s="1490">
        <v>0</v>
      </c>
      <c r="U37" s="1490">
        <v>0</v>
      </c>
      <c r="V37" s="1490">
        <v>0</v>
      </c>
      <c r="W37" s="1490">
        <v>0</v>
      </c>
      <c r="X37" s="1490">
        <v>0</v>
      </c>
      <c r="Y37" s="1490">
        <v>0</v>
      </c>
      <c r="Z37" s="1490">
        <v>0</v>
      </c>
      <c r="AA37" s="1490">
        <v>0</v>
      </c>
      <c r="AB37" s="1490">
        <v>0</v>
      </c>
      <c r="AC37" s="1490">
        <v>0</v>
      </c>
      <c r="AD37" s="1490">
        <v>0</v>
      </c>
      <c r="AE37" s="1490">
        <v>0</v>
      </c>
      <c r="AF37" s="1490">
        <v>0</v>
      </c>
      <c r="AG37" s="1490">
        <v>0</v>
      </c>
      <c r="AH37" s="1490">
        <v>0</v>
      </c>
      <c r="AI37" s="1490">
        <v>0</v>
      </c>
      <c r="AJ37" s="1490">
        <v>0</v>
      </c>
      <c r="AK37" s="1490">
        <v>0</v>
      </c>
      <c r="AL37" s="1490">
        <v>0</v>
      </c>
      <c r="AM37" s="1490">
        <v>0</v>
      </c>
      <c r="AN37" s="1490">
        <v>0</v>
      </c>
      <c r="AO37" s="1490">
        <v>0</v>
      </c>
      <c r="AP37" s="1490">
        <v>0</v>
      </c>
      <c r="AQ37" s="1490">
        <v>0</v>
      </c>
      <c r="AR37" s="1490">
        <v>0</v>
      </c>
      <c r="AS37" s="1490">
        <v>0</v>
      </c>
    </row>
    <row r="38" outlineLevel="1" spans="1:45">
      <c r="A38" s="1491">
        <v>0</v>
      </c>
      <c r="B38" s="1492" t="s">
        <v>410</v>
      </c>
      <c r="C38" s="1492">
        <v>0</v>
      </c>
      <c r="D38" s="1492">
        <v>0</v>
      </c>
      <c r="E38" s="1492">
        <v>0</v>
      </c>
      <c r="F38" s="1492">
        <v>0</v>
      </c>
      <c r="G38" s="1492">
        <v>0</v>
      </c>
      <c r="H38" s="1492">
        <v>0</v>
      </c>
      <c r="I38" s="1492">
        <v>0</v>
      </c>
      <c r="J38" s="1492">
        <v>0</v>
      </c>
      <c r="K38" s="1492">
        <v>0</v>
      </c>
      <c r="L38" s="1492">
        <v>0</v>
      </c>
      <c r="M38" s="1492">
        <v>0</v>
      </c>
      <c r="N38" s="1492">
        <v>0</v>
      </c>
      <c r="O38" s="1492">
        <v>0</v>
      </c>
      <c r="P38" s="1492">
        <v>0</v>
      </c>
      <c r="Q38" s="1492">
        <v>0</v>
      </c>
      <c r="R38" s="1492">
        <v>0</v>
      </c>
      <c r="S38" s="1492">
        <v>0</v>
      </c>
      <c r="T38" s="1492">
        <v>0</v>
      </c>
      <c r="U38" s="1492">
        <v>0</v>
      </c>
      <c r="V38" s="1492">
        <v>0</v>
      </c>
      <c r="W38" s="1492">
        <v>0</v>
      </c>
      <c r="X38" s="1492">
        <v>0</v>
      </c>
      <c r="Y38" s="1492">
        <v>0</v>
      </c>
      <c r="Z38" s="1492">
        <v>0</v>
      </c>
      <c r="AA38" s="1492">
        <v>0</v>
      </c>
      <c r="AB38" s="1492">
        <v>0</v>
      </c>
      <c r="AC38" s="1492">
        <v>0</v>
      </c>
      <c r="AD38" s="1492">
        <v>0</v>
      </c>
      <c r="AE38" s="1492">
        <v>0</v>
      </c>
      <c r="AF38" s="1492">
        <v>0</v>
      </c>
      <c r="AG38" s="1492">
        <v>0</v>
      </c>
      <c r="AH38" s="1492">
        <v>0</v>
      </c>
      <c r="AI38" s="1492">
        <v>0</v>
      </c>
      <c r="AJ38" s="1492">
        <v>0</v>
      </c>
      <c r="AK38" s="1492">
        <v>0</v>
      </c>
      <c r="AL38" s="1492">
        <v>0</v>
      </c>
      <c r="AM38" s="1492">
        <v>0</v>
      </c>
      <c r="AN38" s="1492">
        <v>0</v>
      </c>
      <c r="AO38" s="1492">
        <v>0</v>
      </c>
      <c r="AP38" s="1492">
        <v>0</v>
      </c>
      <c r="AQ38" s="1492">
        <v>0</v>
      </c>
      <c r="AR38" s="1492">
        <v>0</v>
      </c>
      <c r="AS38" s="1492">
        <v>0</v>
      </c>
    </row>
    <row r="39" s="1480" customFormat="1" outlineLevel="1" spans="1:45">
      <c r="A39" s="1488" t="s">
        <v>199</v>
      </c>
      <c r="B39" s="1489" t="s">
        <v>240</v>
      </c>
      <c r="C39" s="1489">
        <v>3000</v>
      </c>
      <c r="D39" s="1490">
        <v>0</v>
      </c>
      <c r="E39" s="1490">
        <v>0</v>
      </c>
      <c r="F39" s="1490">
        <v>0</v>
      </c>
      <c r="G39" s="1490">
        <v>0</v>
      </c>
      <c r="H39" s="1490">
        <v>0</v>
      </c>
      <c r="I39" s="1490">
        <v>0</v>
      </c>
      <c r="J39" s="1490">
        <v>0</v>
      </c>
      <c r="K39" s="1490">
        <v>0</v>
      </c>
      <c r="L39" s="1490">
        <v>0</v>
      </c>
      <c r="M39" s="1490">
        <v>0</v>
      </c>
      <c r="N39" s="1490">
        <v>0</v>
      </c>
      <c r="O39" s="1490">
        <v>0</v>
      </c>
      <c r="P39" s="1490">
        <v>0</v>
      </c>
      <c r="Q39" s="1490">
        <v>0</v>
      </c>
      <c r="R39" s="1490">
        <v>0</v>
      </c>
      <c r="S39" s="1490">
        <v>0</v>
      </c>
      <c r="T39" s="1493">
        <v>0</v>
      </c>
      <c r="U39" s="1493">
        <v>0</v>
      </c>
      <c r="V39" s="1493">
        <v>0</v>
      </c>
      <c r="W39" s="1493">
        <v>0</v>
      </c>
      <c r="X39" s="1493">
        <v>0</v>
      </c>
      <c r="Y39" s="1493">
        <v>3000</v>
      </c>
      <c r="Z39" s="1493">
        <v>0</v>
      </c>
      <c r="AA39" s="1493">
        <v>0</v>
      </c>
      <c r="AB39" s="1493">
        <v>0</v>
      </c>
      <c r="AC39" s="1493">
        <v>0</v>
      </c>
      <c r="AD39" s="1493">
        <v>0</v>
      </c>
      <c r="AE39" s="1493">
        <v>0</v>
      </c>
      <c r="AF39" s="1493">
        <v>0</v>
      </c>
      <c r="AG39" s="1493">
        <v>0</v>
      </c>
      <c r="AH39" s="1493">
        <v>0</v>
      </c>
      <c r="AI39" s="1493">
        <v>0</v>
      </c>
      <c r="AJ39" s="1493">
        <v>0</v>
      </c>
      <c r="AK39" s="1493">
        <v>0</v>
      </c>
      <c r="AL39" s="1493">
        <v>0</v>
      </c>
      <c r="AM39" s="1493">
        <v>0</v>
      </c>
      <c r="AN39" s="1493">
        <v>0</v>
      </c>
      <c r="AO39" s="1493">
        <v>0</v>
      </c>
      <c r="AP39" s="1493">
        <v>0</v>
      </c>
      <c r="AQ39" s="1493">
        <v>0</v>
      </c>
      <c r="AR39" s="1493">
        <v>0</v>
      </c>
      <c r="AS39" s="1493">
        <v>0</v>
      </c>
    </row>
    <row r="40" s="1480" customFormat="1" outlineLevel="1" spans="1:45">
      <c r="A40" s="1488">
        <v>0</v>
      </c>
      <c r="B40" s="1489" t="s">
        <v>409</v>
      </c>
      <c r="C40" s="1489">
        <v>18018.018018018</v>
      </c>
      <c r="D40" s="1490">
        <v>0</v>
      </c>
      <c r="E40" s="1490">
        <v>0</v>
      </c>
      <c r="F40" s="1489">
        <v>0</v>
      </c>
      <c r="G40" s="1489">
        <v>0</v>
      </c>
      <c r="H40" s="1490">
        <v>0</v>
      </c>
      <c r="I40" s="1490">
        <v>0</v>
      </c>
      <c r="J40" s="1490">
        <v>0</v>
      </c>
      <c r="K40" s="1490">
        <v>0</v>
      </c>
      <c r="L40" s="1490">
        <v>0</v>
      </c>
      <c r="M40" s="1490">
        <v>0</v>
      </c>
      <c r="N40" s="1490">
        <v>0</v>
      </c>
      <c r="O40" s="1490">
        <v>0</v>
      </c>
      <c r="P40" s="1490">
        <v>0</v>
      </c>
      <c r="Q40" s="1490">
        <v>0</v>
      </c>
      <c r="R40" s="1490">
        <v>0</v>
      </c>
      <c r="S40" s="1490">
        <v>0</v>
      </c>
      <c r="T40" s="1490">
        <v>0</v>
      </c>
      <c r="U40" s="1490">
        <v>0</v>
      </c>
      <c r="V40" s="1490">
        <v>0</v>
      </c>
      <c r="W40" s="1490">
        <v>0</v>
      </c>
      <c r="X40" s="1490">
        <v>0</v>
      </c>
      <c r="Y40" s="1490">
        <v>18018.018018018</v>
      </c>
      <c r="Z40" s="1490">
        <v>0</v>
      </c>
      <c r="AA40" s="1490">
        <v>0</v>
      </c>
      <c r="AB40" s="1490">
        <v>0</v>
      </c>
      <c r="AC40" s="1490">
        <v>0</v>
      </c>
      <c r="AD40" s="1490">
        <v>0</v>
      </c>
      <c r="AE40" s="1490">
        <v>0</v>
      </c>
      <c r="AF40" s="1490">
        <v>0</v>
      </c>
      <c r="AG40" s="1490">
        <v>0</v>
      </c>
      <c r="AH40" s="1490">
        <v>0</v>
      </c>
      <c r="AI40" s="1490">
        <v>0</v>
      </c>
      <c r="AJ40" s="1490">
        <v>0</v>
      </c>
      <c r="AK40" s="1490">
        <v>0</v>
      </c>
      <c r="AL40" s="1490">
        <v>0</v>
      </c>
      <c r="AM40" s="1490">
        <v>0</v>
      </c>
      <c r="AN40" s="1490">
        <v>0</v>
      </c>
      <c r="AO40" s="1490">
        <v>0</v>
      </c>
      <c r="AP40" s="1490">
        <v>0</v>
      </c>
      <c r="AQ40" s="1490">
        <v>0</v>
      </c>
      <c r="AR40" s="1490">
        <v>0</v>
      </c>
      <c r="AS40" s="1490">
        <v>0</v>
      </c>
    </row>
    <row r="41" outlineLevel="1" spans="1:45">
      <c r="A41" s="1491">
        <v>0</v>
      </c>
      <c r="B41" s="1492" t="s">
        <v>410</v>
      </c>
      <c r="C41" s="1492">
        <v>5405.4054054054</v>
      </c>
      <c r="D41" s="1492">
        <v>0</v>
      </c>
      <c r="E41" s="1492">
        <v>0</v>
      </c>
      <c r="F41" s="1492">
        <v>0</v>
      </c>
      <c r="G41" s="1492">
        <v>0</v>
      </c>
      <c r="H41" s="1492">
        <v>0</v>
      </c>
      <c r="I41" s="1492">
        <v>0</v>
      </c>
      <c r="J41" s="1492">
        <v>0</v>
      </c>
      <c r="K41" s="1492">
        <v>0</v>
      </c>
      <c r="L41" s="1492">
        <v>0</v>
      </c>
      <c r="M41" s="1492">
        <v>0</v>
      </c>
      <c r="N41" s="1492">
        <v>0</v>
      </c>
      <c r="O41" s="1492">
        <v>0</v>
      </c>
      <c r="P41" s="1492">
        <v>0</v>
      </c>
      <c r="Q41" s="1492">
        <v>0</v>
      </c>
      <c r="R41" s="1492">
        <v>0</v>
      </c>
      <c r="S41" s="1492">
        <v>0</v>
      </c>
      <c r="T41" s="1492">
        <v>0</v>
      </c>
      <c r="U41" s="1492">
        <v>0</v>
      </c>
      <c r="V41" s="1492">
        <v>0</v>
      </c>
      <c r="W41" s="1492">
        <v>0</v>
      </c>
      <c r="X41" s="1492">
        <v>0</v>
      </c>
      <c r="Y41" s="1492">
        <v>5405.4054054054</v>
      </c>
      <c r="Z41" s="1492">
        <v>0</v>
      </c>
      <c r="AA41" s="1492">
        <v>0</v>
      </c>
      <c r="AB41" s="1492">
        <v>0</v>
      </c>
      <c r="AC41" s="1492">
        <v>0</v>
      </c>
      <c r="AD41" s="1492">
        <v>0</v>
      </c>
      <c r="AE41" s="1492">
        <v>0</v>
      </c>
      <c r="AF41" s="1492">
        <v>0</v>
      </c>
      <c r="AG41" s="1492">
        <v>0</v>
      </c>
      <c r="AH41" s="1492">
        <v>0</v>
      </c>
      <c r="AI41" s="1492">
        <v>0</v>
      </c>
      <c r="AJ41" s="1492">
        <v>0</v>
      </c>
      <c r="AK41" s="1492">
        <v>0</v>
      </c>
      <c r="AL41" s="1492">
        <v>0</v>
      </c>
      <c r="AM41" s="1492">
        <v>0</v>
      </c>
      <c r="AN41" s="1492">
        <v>0</v>
      </c>
      <c r="AO41" s="1492">
        <v>0</v>
      </c>
      <c r="AP41" s="1492">
        <v>0</v>
      </c>
      <c r="AQ41" s="1492">
        <v>0</v>
      </c>
      <c r="AR41" s="1492">
        <v>0</v>
      </c>
      <c r="AS41" s="1492">
        <v>0</v>
      </c>
    </row>
    <row r="42" spans="1:45">
      <c r="A42" s="1487" t="s">
        <v>53</v>
      </c>
      <c r="B42" s="1484" t="s">
        <v>240</v>
      </c>
      <c r="C42" s="1484">
        <v>13190</v>
      </c>
      <c r="D42" s="1484">
        <v>0</v>
      </c>
      <c r="E42" s="1484">
        <v>0</v>
      </c>
      <c r="F42" s="1484">
        <v>0</v>
      </c>
      <c r="G42" s="1484">
        <v>0</v>
      </c>
      <c r="H42" s="1484">
        <v>0</v>
      </c>
      <c r="I42" s="1484">
        <v>0</v>
      </c>
      <c r="J42" s="1484">
        <v>0</v>
      </c>
      <c r="K42" s="1484">
        <v>0</v>
      </c>
      <c r="L42" s="1484">
        <v>0</v>
      </c>
      <c r="M42" s="1484">
        <v>0</v>
      </c>
      <c r="N42" s="1484">
        <v>0</v>
      </c>
      <c r="O42" s="1484">
        <v>0</v>
      </c>
      <c r="P42" s="1484">
        <v>0</v>
      </c>
      <c r="Q42" s="1484">
        <v>0</v>
      </c>
      <c r="R42" s="1484">
        <v>0</v>
      </c>
      <c r="S42" s="1484">
        <v>0</v>
      </c>
      <c r="T42" s="1484">
        <v>0</v>
      </c>
      <c r="U42" s="1484">
        <v>0</v>
      </c>
      <c r="V42" s="1484">
        <v>0</v>
      </c>
      <c r="W42" s="1484">
        <v>0</v>
      </c>
      <c r="X42" s="1484">
        <v>0</v>
      </c>
      <c r="Y42" s="1484">
        <v>13190</v>
      </c>
      <c r="Z42" s="1484">
        <v>0</v>
      </c>
      <c r="AA42" s="1484">
        <v>0</v>
      </c>
      <c r="AB42" s="1484">
        <v>0</v>
      </c>
      <c r="AC42" s="1484">
        <v>0</v>
      </c>
      <c r="AD42" s="1484">
        <v>0</v>
      </c>
      <c r="AE42" s="1484">
        <v>0</v>
      </c>
      <c r="AF42" s="1484">
        <v>0</v>
      </c>
      <c r="AG42" s="1484">
        <v>0</v>
      </c>
      <c r="AH42" s="1484">
        <v>0</v>
      </c>
      <c r="AI42" s="1484">
        <v>0</v>
      </c>
      <c r="AJ42" s="1484">
        <v>0</v>
      </c>
      <c r="AK42" s="1484">
        <v>0</v>
      </c>
      <c r="AL42" s="1484">
        <v>0</v>
      </c>
      <c r="AM42" s="1484">
        <v>0</v>
      </c>
      <c r="AN42" s="1484">
        <v>0</v>
      </c>
      <c r="AO42" s="1484">
        <v>0</v>
      </c>
      <c r="AP42" s="1484">
        <v>0</v>
      </c>
      <c r="AQ42" s="1484">
        <v>0</v>
      </c>
      <c r="AR42" s="1484">
        <v>0</v>
      </c>
      <c r="AS42" s="1484">
        <v>0</v>
      </c>
    </row>
    <row r="43" spans="1:45">
      <c r="A43" s="1487"/>
      <c r="B43" s="1484" t="s">
        <v>409</v>
      </c>
      <c r="C43" s="1484">
        <v>10810.8108108108</v>
      </c>
      <c r="D43" s="1484">
        <v>0</v>
      </c>
      <c r="E43" s="1484">
        <v>0</v>
      </c>
      <c r="F43" s="1484">
        <v>0</v>
      </c>
      <c r="G43" s="1484">
        <v>0</v>
      </c>
      <c r="H43" s="1484">
        <v>0</v>
      </c>
      <c r="I43" s="1484">
        <v>0</v>
      </c>
      <c r="J43" s="1484">
        <v>0</v>
      </c>
      <c r="K43" s="1484">
        <v>0</v>
      </c>
      <c r="L43" s="1484">
        <v>0</v>
      </c>
      <c r="M43" s="1484">
        <v>0</v>
      </c>
      <c r="N43" s="1484">
        <v>0</v>
      </c>
      <c r="O43" s="1484">
        <v>0</v>
      </c>
      <c r="P43" s="1484">
        <v>0</v>
      </c>
      <c r="Q43" s="1484">
        <v>0</v>
      </c>
      <c r="R43" s="1484">
        <v>0</v>
      </c>
      <c r="S43" s="1484">
        <v>0</v>
      </c>
      <c r="T43" s="1484">
        <v>0</v>
      </c>
      <c r="U43" s="1484">
        <v>0</v>
      </c>
      <c r="V43" s="1484">
        <v>0</v>
      </c>
      <c r="W43" s="1484">
        <v>0</v>
      </c>
      <c r="X43" s="1484">
        <v>0</v>
      </c>
      <c r="Y43" s="1484">
        <v>10810.8108108108</v>
      </c>
      <c r="Z43" s="1484">
        <v>0</v>
      </c>
      <c r="AA43" s="1484">
        <v>0</v>
      </c>
      <c r="AB43" s="1484">
        <v>0</v>
      </c>
      <c r="AC43" s="1484">
        <v>0</v>
      </c>
      <c r="AD43" s="1484">
        <v>0</v>
      </c>
      <c r="AE43" s="1484">
        <v>0</v>
      </c>
      <c r="AF43" s="1484">
        <v>0</v>
      </c>
      <c r="AG43" s="1484">
        <v>0</v>
      </c>
      <c r="AH43" s="1484">
        <v>0</v>
      </c>
      <c r="AI43" s="1484">
        <v>0</v>
      </c>
      <c r="AJ43" s="1484">
        <v>0</v>
      </c>
      <c r="AK43" s="1484">
        <v>0</v>
      </c>
      <c r="AL43" s="1484">
        <v>0</v>
      </c>
      <c r="AM43" s="1484">
        <v>0</v>
      </c>
      <c r="AN43" s="1484">
        <v>0</v>
      </c>
      <c r="AO43" s="1484">
        <v>0</v>
      </c>
      <c r="AP43" s="1484">
        <v>0</v>
      </c>
      <c r="AQ43" s="1484">
        <v>0</v>
      </c>
      <c r="AR43" s="1484">
        <v>0</v>
      </c>
      <c r="AS43" s="1484">
        <v>0</v>
      </c>
    </row>
    <row r="44" spans="1:45">
      <c r="A44" s="1487"/>
      <c r="B44" s="1484" t="s">
        <v>410</v>
      </c>
      <c r="C44" s="1484">
        <v>14259.4594594595</v>
      </c>
      <c r="D44" s="1484">
        <v>0</v>
      </c>
      <c r="E44" s="1484">
        <v>0</v>
      </c>
      <c r="F44" s="1484">
        <v>0</v>
      </c>
      <c r="G44" s="1484">
        <v>0</v>
      </c>
      <c r="H44" s="1484">
        <v>0</v>
      </c>
      <c r="I44" s="1484">
        <v>0</v>
      </c>
      <c r="J44" s="1484">
        <v>0</v>
      </c>
      <c r="K44" s="1484">
        <v>0</v>
      </c>
      <c r="L44" s="1484">
        <v>0</v>
      </c>
      <c r="M44" s="1484">
        <v>0</v>
      </c>
      <c r="N44" s="1484">
        <v>0</v>
      </c>
      <c r="O44" s="1484">
        <v>0</v>
      </c>
      <c r="P44" s="1484">
        <v>0</v>
      </c>
      <c r="Q44" s="1484">
        <v>0</v>
      </c>
      <c r="R44" s="1484">
        <v>0</v>
      </c>
      <c r="S44" s="1484">
        <v>0</v>
      </c>
      <c r="T44" s="1484">
        <v>0</v>
      </c>
      <c r="U44" s="1484">
        <v>0</v>
      </c>
      <c r="V44" s="1484">
        <v>0</v>
      </c>
      <c r="W44" s="1484">
        <v>0</v>
      </c>
      <c r="X44" s="1484">
        <v>0</v>
      </c>
      <c r="Y44" s="1484">
        <v>14259.4594594595</v>
      </c>
      <c r="Z44" s="1484">
        <v>0</v>
      </c>
      <c r="AA44" s="1484">
        <v>0</v>
      </c>
      <c r="AB44" s="1484">
        <v>0</v>
      </c>
      <c r="AC44" s="1484">
        <v>0</v>
      </c>
      <c r="AD44" s="1484">
        <v>0</v>
      </c>
      <c r="AE44" s="1484">
        <v>0</v>
      </c>
      <c r="AF44" s="1484">
        <v>0</v>
      </c>
      <c r="AG44" s="1484">
        <v>0</v>
      </c>
      <c r="AH44" s="1484">
        <v>0</v>
      </c>
      <c r="AI44" s="1484">
        <v>0</v>
      </c>
      <c r="AJ44" s="1484">
        <v>0</v>
      </c>
      <c r="AK44" s="1484">
        <v>0</v>
      </c>
      <c r="AL44" s="1484">
        <v>0</v>
      </c>
      <c r="AM44" s="1484">
        <v>0</v>
      </c>
      <c r="AN44" s="1484">
        <v>0</v>
      </c>
      <c r="AO44" s="1484">
        <v>0</v>
      </c>
      <c r="AP44" s="1484">
        <v>0</v>
      </c>
      <c r="AQ44" s="1484">
        <v>0</v>
      </c>
      <c r="AR44" s="1484">
        <v>0</v>
      </c>
      <c r="AS44" s="1484">
        <v>0</v>
      </c>
    </row>
    <row r="45" s="1480" customFormat="1" outlineLevel="1" spans="1:45">
      <c r="A45" s="1488" t="s">
        <v>202</v>
      </c>
      <c r="B45" s="1489" t="s">
        <v>240</v>
      </c>
      <c r="C45" s="1489">
        <v>0</v>
      </c>
      <c r="D45" s="1490">
        <v>0</v>
      </c>
      <c r="E45" s="1490">
        <v>0</v>
      </c>
      <c r="F45" s="1490">
        <v>0</v>
      </c>
      <c r="G45" s="1490">
        <v>0</v>
      </c>
      <c r="H45" s="1490">
        <v>0</v>
      </c>
      <c r="I45" s="1490">
        <v>0</v>
      </c>
      <c r="J45" s="1490">
        <v>0</v>
      </c>
      <c r="K45" s="1490">
        <v>0</v>
      </c>
      <c r="L45" s="1490">
        <v>0</v>
      </c>
      <c r="M45" s="1490">
        <v>0</v>
      </c>
      <c r="N45" s="1490">
        <v>0</v>
      </c>
      <c r="O45" s="1490">
        <v>0</v>
      </c>
      <c r="P45" s="1490">
        <v>0</v>
      </c>
      <c r="Q45" s="1490">
        <v>0</v>
      </c>
      <c r="R45" s="1490">
        <v>0</v>
      </c>
      <c r="S45" s="1490">
        <v>0</v>
      </c>
      <c r="T45" s="1493">
        <v>0</v>
      </c>
      <c r="U45" s="1493">
        <v>0</v>
      </c>
      <c r="V45" s="1493">
        <v>0</v>
      </c>
      <c r="W45" s="1493">
        <v>0</v>
      </c>
      <c r="X45" s="1493">
        <v>0</v>
      </c>
      <c r="Y45" s="1493">
        <v>0</v>
      </c>
      <c r="Z45" s="1493">
        <v>0</v>
      </c>
      <c r="AA45" s="1493">
        <v>0</v>
      </c>
      <c r="AB45" s="1493">
        <v>0</v>
      </c>
      <c r="AC45" s="1493">
        <v>0</v>
      </c>
      <c r="AD45" s="1493">
        <v>0</v>
      </c>
      <c r="AE45" s="1493">
        <v>0</v>
      </c>
      <c r="AF45" s="1493">
        <v>0</v>
      </c>
      <c r="AG45" s="1493">
        <v>0</v>
      </c>
      <c r="AH45" s="1493">
        <v>0</v>
      </c>
      <c r="AI45" s="1493">
        <v>0</v>
      </c>
      <c r="AJ45" s="1493">
        <v>0</v>
      </c>
      <c r="AK45" s="1493">
        <v>0</v>
      </c>
      <c r="AL45" s="1493">
        <v>0</v>
      </c>
      <c r="AM45" s="1493">
        <v>0</v>
      </c>
      <c r="AN45" s="1493">
        <v>0</v>
      </c>
      <c r="AO45" s="1493">
        <v>0</v>
      </c>
      <c r="AP45" s="1493">
        <v>0</v>
      </c>
      <c r="AQ45" s="1493">
        <v>0</v>
      </c>
      <c r="AR45" s="1493">
        <v>0</v>
      </c>
      <c r="AS45" s="1493">
        <v>0</v>
      </c>
    </row>
    <row r="46" s="1480" customFormat="1" outlineLevel="1" spans="1:45">
      <c r="A46" s="1488">
        <v>0</v>
      </c>
      <c r="B46" s="1489" t="s">
        <v>409</v>
      </c>
      <c r="C46" s="1489">
        <v>0</v>
      </c>
      <c r="D46" s="1490">
        <v>0</v>
      </c>
      <c r="E46" s="1490">
        <v>0</v>
      </c>
      <c r="F46" s="1489">
        <v>0</v>
      </c>
      <c r="G46" s="1489">
        <v>0</v>
      </c>
      <c r="H46" s="1490">
        <v>0</v>
      </c>
      <c r="I46" s="1490">
        <v>0</v>
      </c>
      <c r="J46" s="1490">
        <v>0</v>
      </c>
      <c r="K46" s="1490">
        <v>0</v>
      </c>
      <c r="L46" s="1490">
        <v>0</v>
      </c>
      <c r="M46" s="1490">
        <v>0</v>
      </c>
      <c r="N46" s="1490">
        <v>0</v>
      </c>
      <c r="O46" s="1490">
        <v>0</v>
      </c>
      <c r="P46" s="1490">
        <v>0</v>
      </c>
      <c r="Q46" s="1490">
        <v>0</v>
      </c>
      <c r="R46" s="1490">
        <v>0</v>
      </c>
      <c r="S46" s="1490">
        <v>0</v>
      </c>
      <c r="T46" s="1490">
        <v>0</v>
      </c>
      <c r="U46" s="1490">
        <v>0</v>
      </c>
      <c r="V46" s="1490">
        <v>0</v>
      </c>
      <c r="W46" s="1490">
        <v>0</v>
      </c>
      <c r="X46" s="1490">
        <v>0</v>
      </c>
      <c r="Y46" s="1490">
        <v>0</v>
      </c>
      <c r="Z46" s="1490">
        <v>0</v>
      </c>
      <c r="AA46" s="1490">
        <v>0</v>
      </c>
      <c r="AB46" s="1490">
        <v>0</v>
      </c>
      <c r="AC46" s="1490">
        <v>0</v>
      </c>
      <c r="AD46" s="1490">
        <v>0</v>
      </c>
      <c r="AE46" s="1490">
        <v>0</v>
      </c>
      <c r="AF46" s="1490">
        <v>0</v>
      </c>
      <c r="AG46" s="1490">
        <v>0</v>
      </c>
      <c r="AH46" s="1490">
        <v>0</v>
      </c>
      <c r="AI46" s="1490">
        <v>0</v>
      </c>
      <c r="AJ46" s="1490">
        <v>0</v>
      </c>
      <c r="AK46" s="1490">
        <v>0</v>
      </c>
      <c r="AL46" s="1490">
        <v>0</v>
      </c>
      <c r="AM46" s="1490">
        <v>0</v>
      </c>
      <c r="AN46" s="1490">
        <v>0</v>
      </c>
      <c r="AO46" s="1490">
        <v>0</v>
      </c>
      <c r="AP46" s="1490">
        <v>0</v>
      </c>
      <c r="AQ46" s="1490">
        <v>0</v>
      </c>
      <c r="AR46" s="1490">
        <v>0</v>
      </c>
      <c r="AS46" s="1490">
        <v>0</v>
      </c>
    </row>
    <row r="47" outlineLevel="1" spans="1:45">
      <c r="A47" s="1491">
        <v>0</v>
      </c>
      <c r="B47" s="1492" t="s">
        <v>410</v>
      </c>
      <c r="C47" s="1492">
        <v>0</v>
      </c>
      <c r="D47" s="1492">
        <v>0</v>
      </c>
      <c r="E47" s="1492">
        <v>0</v>
      </c>
      <c r="F47" s="1492">
        <v>0</v>
      </c>
      <c r="G47" s="1492">
        <v>0</v>
      </c>
      <c r="H47" s="1492">
        <v>0</v>
      </c>
      <c r="I47" s="1492">
        <v>0</v>
      </c>
      <c r="J47" s="1492">
        <v>0</v>
      </c>
      <c r="K47" s="1492">
        <v>0</v>
      </c>
      <c r="L47" s="1492">
        <v>0</v>
      </c>
      <c r="M47" s="1492">
        <v>0</v>
      </c>
      <c r="N47" s="1492">
        <v>0</v>
      </c>
      <c r="O47" s="1492">
        <v>0</v>
      </c>
      <c r="P47" s="1492">
        <v>0</v>
      </c>
      <c r="Q47" s="1492">
        <v>0</v>
      </c>
      <c r="R47" s="1492">
        <v>0</v>
      </c>
      <c r="S47" s="1492">
        <v>0</v>
      </c>
      <c r="T47" s="1492">
        <v>0</v>
      </c>
      <c r="U47" s="1492">
        <v>0</v>
      </c>
      <c r="V47" s="1492">
        <v>0</v>
      </c>
      <c r="W47" s="1492">
        <v>0</v>
      </c>
      <c r="X47" s="1492">
        <v>0</v>
      </c>
      <c r="Y47" s="1492">
        <v>0</v>
      </c>
      <c r="Z47" s="1492">
        <v>0</v>
      </c>
      <c r="AA47" s="1492">
        <v>0</v>
      </c>
      <c r="AB47" s="1492">
        <v>0</v>
      </c>
      <c r="AC47" s="1492">
        <v>0</v>
      </c>
      <c r="AD47" s="1492">
        <v>0</v>
      </c>
      <c r="AE47" s="1492">
        <v>0</v>
      </c>
      <c r="AF47" s="1492">
        <v>0</v>
      </c>
      <c r="AG47" s="1492">
        <v>0</v>
      </c>
      <c r="AH47" s="1492">
        <v>0</v>
      </c>
      <c r="AI47" s="1492">
        <v>0</v>
      </c>
      <c r="AJ47" s="1492">
        <v>0</v>
      </c>
      <c r="AK47" s="1492">
        <v>0</v>
      </c>
      <c r="AL47" s="1492">
        <v>0</v>
      </c>
      <c r="AM47" s="1492">
        <v>0</v>
      </c>
      <c r="AN47" s="1492">
        <v>0</v>
      </c>
      <c r="AO47" s="1492">
        <v>0</v>
      </c>
      <c r="AP47" s="1492">
        <v>0</v>
      </c>
      <c r="AQ47" s="1492">
        <v>0</v>
      </c>
      <c r="AR47" s="1492">
        <v>0</v>
      </c>
      <c r="AS47" s="1492">
        <v>0</v>
      </c>
    </row>
    <row r="48" s="1480" customFormat="1" outlineLevel="1" spans="1:45">
      <c r="A48" s="1488" t="s">
        <v>195</v>
      </c>
      <c r="B48" s="1489" t="s">
        <v>240</v>
      </c>
      <c r="C48" s="1489">
        <v>0</v>
      </c>
      <c r="D48" s="1490">
        <v>0</v>
      </c>
      <c r="E48" s="1490">
        <v>0</v>
      </c>
      <c r="F48" s="1490">
        <v>0</v>
      </c>
      <c r="G48" s="1490">
        <v>0</v>
      </c>
      <c r="H48" s="1490">
        <v>0</v>
      </c>
      <c r="I48" s="1490">
        <v>0</v>
      </c>
      <c r="J48" s="1490">
        <v>0</v>
      </c>
      <c r="K48" s="1490">
        <v>0</v>
      </c>
      <c r="L48" s="1490">
        <v>0</v>
      </c>
      <c r="M48" s="1490">
        <v>0</v>
      </c>
      <c r="N48" s="1490">
        <v>0</v>
      </c>
      <c r="O48" s="1490">
        <v>0</v>
      </c>
      <c r="P48" s="1490">
        <v>0</v>
      </c>
      <c r="Q48" s="1490">
        <v>0</v>
      </c>
      <c r="R48" s="1490">
        <v>0</v>
      </c>
      <c r="S48" s="1490">
        <v>0</v>
      </c>
      <c r="T48" s="1493">
        <v>0</v>
      </c>
      <c r="U48" s="1493">
        <v>0</v>
      </c>
      <c r="V48" s="1493">
        <v>0</v>
      </c>
      <c r="W48" s="1493">
        <v>0</v>
      </c>
      <c r="X48" s="1493">
        <v>0</v>
      </c>
      <c r="Y48" s="1493">
        <v>0</v>
      </c>
      <c r="Z48" s="1493">
        <v>0</v>
      </c>
      <c r="AA48" s="1493">
        <v>0</v>
      </c>
      <c r="AB48" s="1493">
        <v>0</v>
      </c>
      <c r="AC48" s="1493">
        <v>0</v>
      </c>
      <c r="AD48" s="1493">
        <v>0</v>
      </c>
      <c r="AE48" s="1493">
        <v>0</v>
      </c>
      <c r="AF48" s="1493">
        <v>0</v>
      </c>
      <c r="AG48" s="1493">
        <v>0</v>
      </c>
      <c r="AH48" s="1493">
        <v>0</v>
      </c>
      <c r="AI48" s="1493">
        <v>0</v>
      </c>
      <c r="AJ48" s="1493">
        <v>0</v>
      </c>
      <c r="AK48" s="1493">
        <v>0</v>
      </c>
      <c r="AL48" s="1493">
        <v>0</v>
      </c>
      <c r="AM48" s="1493">
        <v>0</v>
      </c>
      <c r="AN48" s="1493">
        <v>0</v>
      </c>
      <c r="AO48" s="1493">
        <v>0</v>
      </c>
      <c r="AP48" s="1493">
        <v>0</v>
      </c>
      <c r="AQ48" s="1493">
        <v>0</v>
      </c>
      <c r="AR48" s="1493">
        <v>0</v>
      </c>
      <c r="AS48" s="1493">
        <v>0</v>
      </c>
    </row>
    <row r="49" s="1480" customFormat="1" outlineLevel="1" spans="1:45">
      <c r="A49" s="1488">
        <v>0</v>
      </c>
      <c r="B49" s="1489" t="s">
        <v>409</v>
      </c>
      <c r="C49" s="1489">
        <v>0</v>
      </c>
      <c r="D49" s="1490">
        <v>0</v>
      </c>
      <c r="E49" s="1490">
        <v>0</v>
      </c>
      <c r="F49" s="1489">
        <v>0</v>
      </c>
      <c r="G49" s="1489">
        <v>0</v>
      </c>
      <c r="H49" s="1490">
        <v>0</v>
      </c>
      <c r="I49" s="1490">
        <v>0</v>
      </c>
      <c r="J49" s="1490">
        <v>0</v>
      </c>
      <c r="K49" s="1490">
        <v>0</v>
      </c>
      <c r="L49" s="1490">
        <v>0</v>
      </c>
      <c r="M49" s="1490">
        <v>0</v>
      </c>
      <c r="N49" s="1490">
        <v>0</v>
      </c>
      <c r="O49" s="1490">
        <v>0</v>
      </c>
      <c r="P49" s="1490">
        <v>0</v>
      </c>
      <c r="Q49" s="1490">
        <v>0</v>
      </c>
      <c r="R49" s="1490">
        <v>0</v>
      </c>
      <c r="S49" s="1490">
        <v>0</v>
      </c>
      <c r="T49" s="1490">
        <v>0</v>
      </c>
      <c r="U49" s="1490">
        <v>0</v>
      </c>
      <c r="V49" s="1490">
        <v>0</v>
      </c>
      <c r="W49" s="1490">
        <v>0</v>
      </c>
      <c r="X49" s="1490">
        <v>0</v>
      </c>
      <c r="Y49" s="1490">
        <v>0</v>
      </c>
      <c r="Z49" s="1490">
        <v>0</v>
      </c>
      <c r="AA49" s="1490">
        <v>0</v>
      </c>
      <c r="AB49" s="1490">
        <v>0</v>
      </c>
      <c r="AC49" s="1490">
        <v>0</v>
      </c>
      <c r="AD49" s="1490">
        <v>0</v>
      </c>
      <c r="AE49" s="1490">
        <v>0</v>
      </c>
      <c r="AF49" s="1490">
        <v>0</v>
      </c>
      <c r="AG49" s="1490">
        <v>0</v>
      </c>
      <c r="AH49" s="1490">
        <v>0</v>
      </c>
      <c r="AI49" s="1490">
        <v>0</v>
      </c>
      <c r="AJ49" s="1490">
        <v>0</v>
      </c>
      <c r="AK49" s="1490">
        <v>0</v>
      </c>
      <c r="AL49" s="1490">
        <v>0</v>
      </c>
      <c r="AM49" s="1490">
        <v>0</v>
      </c>
      <c r="AN49" s="1490">
        <v>0</v>
      </c>
      <c r="AO49" s="1490">
        <v>0</v>
      </c>
      <c r="AP49" s="1490">
        <v>0</v>
      </c>
      <c r="AQ49" s="1490">
        <v>0</v>
      </c>
      <c r="AR49" s="1490">
        <v>0</v>
      </c>
      <c r="AS49" s="1490">
        <v>0</v>
      </c>
    </row>
    <row r="50" outlineLevel="1" spans="1:45">
      <c r="A50" s="1491">
        <v>0</v>
      </c>
      <c r="B50" s="1492" t="s">
        <v>410</v>
      </c>
      <c r="C50" s="1492">
        <v>0</v>
      </c>
      <c r="D50" s="1492">
        <v>0</v>
      </c>
      <c r="E50" s="1492">
        <v>0</v>
      </c>
      <c r="F50" s="1492">
        <v>0</v>
      </c>
      <c r="G50" s="1492">
        <v>0</v>
      </c>
      <c r="H50" s="1492">
        <v>0</v>
      </c>
      <c r="I50" s="1492">
        <v>0</v>
      </c>
      <c r="J50" s="1492">
        <v>0</v>
      </c>
      <c r="K50" s="1492">
        <v>0</v>
      </c>
      <c r="L50" s="1492">
        <v>0</v>
      </c>
      <c r="M50" s="1492">
        <v>0</v>
      </c>
      <c r="N50" s="1492">
        <v>0</v>
      </c>
      <c r="O50" s="1492">
        <v>0</v>
      </c>
      <c r="P50" s="1492">
        <v>0</v>
      </c>
      <c r="Q50" s="1492">
        <v>0</v>
      </c>
      <c r="R50" s="1492">
        <v>0</v>
      </c>
      <c r="S50" s="1492">
        <v>0</v>
      </c>
      <c r="T50" s="1492">
        <v>0</v>
      </c>
      <c r="U50" s="1492">
        <v>0</v>
      </c>
      <c r="V50" s="1492">
        <v>0</v>
      </c>
      <c r="W50" s="1492">
        <v>0</v>
      </c>
      <c r="X50" s="1492">
        <v>0</v>
      </c>
      <c r="Y50" s="1492">
        <v>0</v>
      </c>
      <c r="Z50" s="1492">
        <v>0</v>
      </c>
      <c r="AA50" s="1492">
        <v>0</v>
      </c>
      <c r="AB50" s="1492">
        <v>0</v>
      </c>
      <c r="AC50" s="1492">
        <v>0</v>
      </c>
      <c r="AD50" s="1492">
        <v>0</v>
      </c>
      <c r="AE50" s="1492">
        <v>0</v>
      </c>
      <c r="AF50" s="1492">
        <v>0</v>
      </c>
      <c r="AG50" s="1492">
        <v>0</v>
      </c>
      <c r="AH50" s="1492">
        <v>0</v>
      </c>
      <c r="AI50" s="1492">
        <v>0</v>
      </c>
      <c r="AJ50" s="1492">
        <v>0</v>
      </c>
      <c r="AK50" s="1492">
        <v>0</v>
      </c>
      <c r="AL50" s="1492">
        <v>0</v>
      </c>
      <c r="AM50" s="1492">
        <v>0</v>
      </c>
      <c r="AN50" s="1492">
        <v>0</v>
      </c>
      <c r="AO50" s="1492">
        <v>0</v>
      </c>
      <c r="AP50" s="1492">
        <v>0</v>
      </c>
      <c r="AQ50" s="1492">
        <v>0</v>
      </c>
      <c r="AR50" s="1492">
        <v>0</v>
      </c>
      <c r="AS50" s="1492">
        <v>0</v>
      </c>
    </row>
    <row r="51" s="1480" customFormat="1" outlineLevel="1" spans="1:45">
      <c r="A51" s="1488" t="s">
        <v>63</v>
      </c>
      <c r="B51" s="1489" t="s">
        <v>240</v>
      </c>
      <c r="C51" s="1489">
        <v>13190</v>
      </c>
      <c r="D51" s="1490">
        <v>0</v>
      </c>
      <c r="E51" s="1490">
        <v>0</v>
      </c>
      <c r="F51" s="1490">
        <v>0</v>
      </c>
      <c r="G51" s="1490">
        <v>0</v>
      </c>
      <c r="H51" s="1490">
        <v>0</v>
      </c>
      <c r="I51" s="1490">
        <v>0</v>
      </c>
      <c r="J51" s="1490">
        <v>0</v>
      </c>
      <c r="K51" s="1490">
        <v>0</v>
      </c>
      <c r="L51" s="1490">
        <v>0</v>
      </c>
      <c r="M51" s="1490">
        <v>0</v>
      </c>
      <c r="N51" s="1490">
        <v>0</v>
      </c>
      <c r="O51" s="1490">
        <v>0</v>
      </c>
      <c r="P51" s="1490">
        <v>0</v>
      </c>
      <c r="Q51" s="1490">
        <v>0</v>
      </c>
      <c r="R51" s="1490">
        <v>0</v>
      </c>
      <c r="S51" s="1490">
        <v>0</v>
      </c>
      <c r="T51" s="1493">
        <v>0</v>
      </c>
      <c r="U51" s="1493">
        <v>0</v>
      </c>
      <c r="V51" s="1493">
        <v>0</v>
      </c>
      <c r="W51" s="1493">
        <v>0</v>
      </c>
      <c r="X51" s="1493">
        <v>0</v>
      </c>
      <c r="Y51" s="1493">
        <v>13190</v>
      </c>
      <c r="Z51" s="1493">
        <v>0</v>
      </c>
      <c r="AA51" s="1493">
        <v>0</v>
      </c>
      <c r="AB51" s="1493">
        <v>0</v>
      </c>
      <c r="AC51" s="1493">
        <v>0</v>
      </c>
      <c r="AD51" s="1493">
        <v>0</v>
      </c>
      <c r="AE51" s="1493">
        <v>0</v>
      </c>
      <c r="AF51" s="1493">
        <v>0</v>
      </c>
      <c r="AG51" s="1493">
        <v>0</v>
      </c>
      <c r="AH51" s="1493">
        <v>0</v>
      </c>
      <c r="AI51" s="1493">
        <v>0</v>
      </c>
      <c r="AJ51" s="1493">
        <v>0</v>
      </c>
      <c r="AK51" s="1493">
        <v>0</v>
      </c>
      <c r="AL51" s="1493">
        <v>0</v>
      </c>
      <c r="AM51" s="1493">
        <v>0</v>
      </c>
      <c r="AN51" s="1493">
        <v>0</v>
      </c>
      <c r="AO51" s="1493">
        <v>0</v>
      </c>
      <c r="AP51" s="1493">
        <v>0</v>
      </c>
      <c r="AQ51" s="1493">
        <v>0</v>
      </c>
      <c r="AR51" s="1493">
        <v>0</v>
      </c>
      <c r="AS51" s="1493">
        <v>0</v>
      </c>
    </row>
    <row r="52" s="1480" customFormat="1" outlineLevel="1" spans="1:45">
      <c r="A52" s="1488">
        <v>0</v>
      </c>
      <c r="B52" s="1489" t="s">
        <v>409</v>
      </c>
      <c r="C52" s="1489">
        <v>10810.8108108108</v>
      </c>
      <c r="D52" s="1490">
        <v>0</v>
      </c>
      <c r="E52" s="1490">
        <v>0</v>
      </c>
      <c r="F52" s="1489">
        <v>0</v>
      </c>
      <c r="G52" s="1489">
        <v>0</v>
      </c>
      <c r="H52" s="1490">
        <v>0</v>
      </c>
      <c r="I52" s="1490">
        <v>0</v>
      </c>
      <c r="J52" s="1490">
        <v>0</v>
      </c>
      <c r="K52" s="1490">
        <v>0</v>
      </c>
      <c r="L52" s="1490">
        <v>0</v>
      </c>
      <c r="M52" s="1490">
        <v>0</v>
      </c>
      <c r="N52" s="1490">
        <v>0</v>
      </c>
      <c r="O52" s="1490">
        <v>0</v>
      </c>
      <c r="P52" s="1490">
        <v>0</v>
      </c>
      <c r="Q52" s="1490">
        <v>0</v>
      </c>
      <c r="R52" s="1490">
        <v>0</v>
      </c>
      <c r="S52" s="1490">
        <v>0</v>
      </c>
      <c r="T52" s="1490">
        <v>0</v>
      </c>
      <c r="U52" s="1490">
        <v>0</v>
      </c>
      <c r="V52" s="1490">
        <v>0</v>
      </c>
      <c r="W52" s="1490">
        <v>0</v>
      </c>
      <c r="X52" s="1490">
        <v>0</v>
      </c>
      <c r="Y52" s="1490">
        <v>10810.8108108108</v>
      </c>
      <c r="Z52" s="1490">
        <v>0</v>
      </c>
      <c r="AA52" s="1490">
        <v>0</v>
      </c>
      <c r="AB52" s="1490">
        <v>0</v>
      </c>
      <c r="AC52" s="1490">
        <v>0</v>
      </c>
      <c r="AD52" s="1490">
        <v>0</v>
      </c>
      <c r="AE52" s="1490">
        <v>0</v>
      </c>
      <c r="AF52" s="1490">
        <v>0</v>
      </c>
      <c r="AG52" s="1490">
        <v>0</v>
      </c>
      <c r="AH52" s="1490">
        <v>0</v>
      </c>
      <c r="AI52" s="1490">
        <v>0</v>
      </c>
      <c r="AJ52" s="1490">
        <v>0</v>
      </c>
      <c r="AK52" s="1490">
        <v>0</v>
      </c>
      <c r="AL52" s="1490">
        <v>0</v>
      </c>
      <c r="AM52" s="1490">
        <v>0</v>
      </c>
      <c r="AN52" s="1490">
        <v>0</v>
      </c>
      <c r="AO52" s="1490">
        <v>0</v>
      </c>
      <c r="AP52" s="1490">
        <v>0</v>
      </c>
      <c r="AQ52" s="1490">
        <v>0</v>
      </c>
      <c r="AR52" s="1490">
        <v>0</v>
      </c>
      <c r="AS52" s="1490">
        <v>0</v>
      </c>
    </row>
    <row r="53" outlineLevel="1" spans="1:45">
      <c r="A53" s="1491">
        <v>0</v>
      </c>
      <c r="B53" s="1492" t="s">
        <v>410</v>
      </c>
      <c r="C53" s="1492">
        <v>14259.4594594595</v>
      </c>
      <c r="D53" s="1492">
        <v>0</v>
      </c>
      <c r="E53" s="1492">
        <v>0</v>
      </c>
      <c r="F53" s="1492">
        <v>0</v>
      </c>
      <c r="G53" s="1492">
        <v>0</v>
      </c>
      <c r="H53" s="1492">
        <v>0</v>
      </c>
      <c r="I53" s="1492">
        <v>0</v>
      </c>
      <c r="J53" s="1492">
        <v>0</v>
      </c>
      <c r="K53" s="1492">
        <v>0</v>
      </c>
      <c r="L53" s="1492">
        <v>0</v>
      </c>
      <c r="M53" s="1492">
        <v>0</v>
      </c>
      <c r="N53" s="1492">
        <v>0</v>
      </c>
      <c r="O53" s="1492">
        <v>0</v>
      </c>
      <c r="P53" s="1492">
        <v>0</v>
      </c>
      <c r="Q53" s="1492">
        <v>0</v>
      </c>
      <c r="R53" s="1492">
        <v>0</v>
      </c>
      <c r="S53" s="1492">
        <v>0</v>
      </c>
      <c r="T53" s="1492">
        <v>0</v>
      </c>
      <c r="U53" s="1492">
        <v>0</v>
      </c>
      <c r="V53" s="1492">
        <v>0</v>
      </c>
      <c r="W53" s="1492">
        <v>0</v>
      </c>
      <c r="X53" s="1492">
        <v>0</v>
      </c>
      <c r="Y53" s="1492">
        <v>14259.4594594595</v>
      </c>
      <c r="Z53" s="1492">
        <v>0</v>
      </c>
      <c r="AA53" s="1492">
        <v>0</v>
      </c>
      <c r="AB53" s="1492">
        <v>0</v>
      </c>
      <c r="AC53" s="1492">
        <v>0</v>
      </c>
      <c r="AD53" s="1492">
        <v>0</v>
      </c>
      <c r="AE53" s="1492">
        <v>0</v>
      </c>
      <c r="AF53" s="1492">
        <v>0</v>
      </c>
      <c r="AG53" s="1492">
        <v>0</v>
      </c>
      <c r="AH53" s="1492">
        <v>0</v>
      </c>
      <c r="AI53" s="1492">
        <v>0</v>
      </c>
      <c r="AJ53" s="1492">
        <v>0</v>
      </c>
      <c r="AK53" s="1492">
        <v>0</v>
      </c>
      <c r="AL53" s="1492">
        <v>0</v>
      </c>
      <c r="AM53" s="1492">
        <v>0</v>
      </c>
      <c r="AN53" s="1492">
        <v>0</v>
      </c>
      <c r="AO53" s="1492">
        <v>0</v>
      </c>
      <c r="AP53" s="1492">
        <v>0</v>
      </c>
      <c r="AQ53" s="1492">
        <v>0</v>
      </c>
      <c r="AR53" s="1492">
        <v>0</v>
      </c>
      <c r="AS53" s="1492">
        <v>0</v>
      </c>
    </row>
    <row r="54" s="1480" customFormat="1" outlineLevel="1" spans="1:45">
      <c r="A54" s="1488" t="s">
        <v>245</v>
      </c>
      <c r="B54" s="1489" t="s">
        <v>240</v>
      </c>
      <c r="C54" s="1489">
        <v>0</v>
      </c>
      <c r="D54" s="1490">
        <v>0</v>
      </c>
      <c r="E54" s="1490">
        <v>0</v>
      </c>
      <c r="F54" s="1490">
        <v>0</v>
      </c>
      <c r="G54" s="1490">
        <v>0</v>
      </c>
      <c r="H54" s="1490">
        <v>0</v>
      </c>
      <c r="I54" s="1490">
        <v>0</v>
      </c>
      <c r="J54" s="1490">
        <v>0</v>
      </c>
      <c r="K54" s="1490">
        <v>0</v>
      </c>
      <c r="L54" s="1490">
        <v>0</v>
      </c>
      <c r="M54" s="1490">
        <v>0</v>
      </c>
      <c r="N54" s="1490">
        <v>0</v>
      </c>
      <c r="O54" s="1490">
        <v>0</v>
      </c>
      <c r="P54" s="1490">
        <v>0</v>
      </c>
      <c r="Q54" s="1490">
        <v>0</v>
      </c>
      <c r="R54" s="1490">
        <v>0</v>
      </c>
      <c r="S54" s="1490">
        <v>0</v>
      </c>
      <c r="T54" s="1493">
        <v>0</v>
      </c>
      <c r="U54" s="1493">
        <v>0</v>
      </c>
      <c r="V54" s="1493">
        <v>0</v>
      </c>
      <c r="W54" s="1493">
        <v>0</v>
      </c>
      <c r="X54" s="1493">
        <v>0</v>
      </c>
      <c r="Y54" s="1493">
        <v>0</v>
      </c>
      <c r="Z54" s="1493">
        <v>0</v>
      </c>
      <c r="AA54" s="1493">
        <v>0</v>
      </c>
      <c r="AB54" s="1493">
        <v>0</v>
      </c>
      <c r="AC54" s="1493">
        <v>0</v>
      </c>
      <c r="AD54" s="1493">
        <v>0</v>
      </c>
      <c r="AE54" s="1493">
        <v>0</v>
      </c>
      <c r="AF54" s="1493">
        <v>0</v>
      </c>
      <c r="AG54" s="1493">
        <v>0</v>
      </c>
      <c r="AH54" s="1493">
        <v>0</v>
      </c>
      <c r="AI54" s="1493">
        <v>0</v>
      </c>
      <c r="AJ54" s="1493">
        <v>0</v>
      </c>
      <c r="AK54" s="1493">
        <v>0</v>
      </c>
      <c r="AL54" s="1493">
        <v>0</v>
      </c>
      <c r="AM54" s="1493">
        <v>0</v>
      </c>
      <c r="AN54" s="1493">
        <v>0</v>
      </c>
      <c r="AO54" s="1493">
        <v>0</v>
      </c>
      <c r="AP54" s="1493">
        <v>0</v>
      </c>
      <c r="AQ54" s="1493">
        <v>0</v>
      </c>
      <c r="AR54" s="1493">
        <v>0</v>
      </c>
      <c r="AS54" s="1493">
        <v>0</v>
      </c>
    </row>
    <row r="55" s="1480" customFormat="1" outlineLevel="1" spans="1:45">
      <c r="A55" s="1488">
        <v>0</v>
      </c>
      <c r="B55" s="1489" t="s">
        <v>409</v>
      </c>
      <c r="C55" s="1489">
        <v>0</v>
      </c>
      <c r="D55" s="1490">
        <v>0</v>
      </c>
      <c r="E55" s="1490">
        <v>0</v>
      </c>
      <c r="F55" s="1489">
        <v>0</v>
      </c>
      <c r="G55" s="1489">
        <v>0</v>
      </c>
      <c r="H55" s="1490">
        <v>0</v>
      </c>
      <c r="I55" s="1490">
        <v>0</v>
      </c>
      <c r="J55" s="1490">
        <v>0</v>
      </c>
      <c r="K55" s="1490">
        <v>0</v>
      </c>
      <c r="L55" s="1490">
        <v>0</v>
      </c>
      <c r="M55" s="1490">
        <v>0</v>
      </c>
      <c r="N55" s="1490">
        <v>0</v>
      </c>
      <c r="O55" s="1490">
        <v>0</v>
      </c>
      <c r="P55" s="1490">
        <v>0</v>
      </c>
      <c r="Q55" s="1490">
        <v>0</v>
      </c>
      <c r="R55" s="1490">
        <v>0</v>
      </c>
      <c r="S55" s="1490">
        <v>0</v>
      </c>
      <c r="T55" s="1490">
        <v>0</v>
      </c>
      <c r="U55" s="1490">
        <v>0</v>
      </c>
      <c r="V55" s="1490">
        <v>0</v>
      </c>
      <c r="W55" s="1490">
        <v>0</v>
      </c>
      <c r="X55" s="1490">
        <v>0</v>
      </c>
      <c r="Y55" s="1490">
        <v>0</v>
      </c>
      <c r="Z55" s="1490">
        <v>0</v>
      </c>
      <c r="AA55" s="1490">
        <v>0</v>
      </c>
      <c r="AB55" s="1490">
        <v>0</v>
      </c>
      <c r="AC55" s="1490">
        <v>0</v>
      </c>
      <c r="AD55" s="1490">
        <v>0</v>
      </c>
      <c r="AE55" s="1490">
        <v>0</v>
      </c>
      <c r="AF55" s="1490">
        <v>0</v>
      </c>
      <c r="AG55" s="1490">
        <v>0</v>
      </c>
      <c r="AH55" s="1490">
        <v>0</v>
      </c>
      <c r="AI55" s="1490">
        <v>0</v>
      </c>
      <c r="AJ55" s="1490">
        <v>0</v>
      </c>
      <c r="AK55" s="1490">
        <v>0</v>
      </c>
      <c r="AL55" s="1490">
        <v>0</v>
      </c>
      <c r="AM55" s="1490">
        <v>0</v>
      </c>
      <c r="AN55" s="1490">
        <v>0</v>
      </c>
      <c r="AO55" s="1490">
        <v>0</v>
      </c>
      <c r="AP55" s="1490">
        <v>0</v>
      </c>
      <c r="AQ55" s="1490">
        <v>0</v>
      </c>
      <c r="AR55" s="1490">
        <v>0</v>
      </c>
      <c r="AS55" s="1490">
        <v>0</v>
      </c>
    </row>
    <row r="56" outlineLevel="1" spans="1:45">
      <c r="A56" s="1491">
        <v>0</v>
      </c>
      <c r="B56" s="1492" t="s">
        <v>410</v>
      </c>
      <c r="C56" s="1492">
        <v>0</v>
      </c>
      <c r="D56" s="1492">
        <v>0</v>
      </c>
      <c r="E56" s="1492">
        <v>0</v>
      </c>
      <c r="F56" s="1492">
        <v>0</v>
      </c>
      <c r="G56" s="1492">
        <v>0</v>
      </c>
      <c r="H56" s="1492">
        <v>0</v>
      </c>
      <c r="I56" s="1492">
        <v>0</v>
      </c>
      <c r="J56" s="1492">
        <v>0</v>
      </c>
      <c r="K56" s="1492">
        <v>0</v>
      </c>
      <c r="L56" s="1492">
        <v>0</v>
      </c>
      <c r="M56" s="1492">
        <v>0</v>
      </c>
      <c r="N56" s="1492">
        <v>0</v>
      </c>
      <c r="O56" s="1492">
        <v>0</v>
      </c>
      <c r="P56" s="1492">
        <v>0</v>
      </c>
      <c r="Q56" s="1492">
        <v>0</v>
      </c>
      <c r="R56" s="1492">
        <v>0</v>
      </c>
      <c r="S56" s="1492">
        <v>0</v>
      </c>
      <c r="T56" s="1492">
        <v>0</v>
      </c>
      <c r="U56" s="1492">
        <v>0</v>
      </c>
      <c r="V56" s="1492">
        <v>0</v>
      </c>
      <c r="W56" s="1492">
        <v>0</v>
      </c>
      <c r="X56" s="1492">
        <v>0</v>
      </c>
      <c r="Y56" s="1492">
        <v>0</v>
      </c>
      <c r="Z56" s="1492">
        <v>0</v>
      </c>
      <c r="AA56" s="1492">
        <v>0</v>
      </c>
      <c r="AB56" s="1492">
        <v>0</v>
      </c>
      <c r="AC56" s="1492">
        <v>0</v>
      </c>
      <c r="AD56" s="1492">
        <v>0</v>
      </c>
      <c r="AE56" s="1492">
        <v>0</v>
      </c>
      <c r="AF56" s="1492">
        <v>0</v>
      </c>
      <c r="AG56" s="1492">
        <v>0</v>
      </c>
      <c r="AH56" s="1492">
        <v>0</v>
      </c>
      <c r="AI56" s="1492">
        <v>0</v>
      </c>
      <c r="AJ56" s="1492">
        <v>0</v>
      </c>
      <c r="AK56" s="1492">
        <v>0</v>
      </c>
      <c r="AL56" s="1492">
        <v>0</v>
      </c>
      <c r="AM56" s="1492">
        <v>0</v>
      </c>
      <c r="AN56" s="1492">
        <v>0</v>
      </c>
      <c r="AO56" s="1492">
        <v>0</v>
      </c>
      <c r="AP56" s="1492">
        <v>0</v>
      </c>
      <c r="AQ56" s="1492">
        <v>0</v>
      </c>
      <c r="AR56" s="1492">
        <v>0</v>
      </c>
      <c r="AS56" s="1492">
        <v>0</v>
      </c>
    </row>
    <row r="57" s="1480" customFormat="1" outlineLevel="1" spans="1:45">
      <c r="A57" s="1488" t="s">
        <v>199</v>
      </c>
      <c r="B57" s="1489" t="s">
        <v>240</v>
      </c>
      <c r="C57" s="1489">
        <v>0</v>
      </c>
      <c r="D57" s="1490">
        <v>0</v>
      </c>
      <c r="E57" s="1490">
        <v>0</v>
      </c>
      <c r="F57" s="1490">
        <v>0</v>
      </c>
      <c r="G57" s="1490">
        <v>0</v>
      </c>
      <c r="H57" s="1490">
        <v>0</v>
      </c>
      <c r="I57" s="1490">
        <v>0</v>
      </c>
      <c r="J57" s="1490">
        <v>0</v>
      </c>
      <c r="K57" s="1490">
        <v>0</v>
      </c>
      <c r="L57" s="1490">
        <v>0</v>
      </c>
      <c r="M57" s="1490">
        <v>0</v>
      </c>
      <c r="N57" s="1490">
        <v>0</v>
      </c>
      <c r="O57" s="1490">
        <v>0</v>
      </c>
      <c r="P57" s="1490">
        <v>0</v>
      </c>
      <c r="Q57" s="1490">
        <v>0</v>
      </c>
      <c r="R57" s="1490">
        <v>0</v>
      </c>
      <c r="S57" s="1490">
        <v>0</v>
      </c>
      <c r="T57" s="1493">
        <v>0</v>
      </c>
      <c r="U57" s="1493">
        <v>0</v>
      </c>
      <c r="V57" s="1493">
        <v>0</v>
      </c>
      <c r="W57" s="1493">
        <v>0</v>
      </c>
      <c r="X57" s="1493">
        <v>0</v>
      </c>
      <c r="Y57" s="1493">
        <v>0</v>
      </c>
      <c r="Z57" s="1493">
        <v>0</v>
      </c>
      <c r="AA57" s="1493">
        <v>0</v>
      </c>
      <c r="AB57" s="1493">
        <v>0</v>
      </c>
      <c r="AC57" s="1493">
        <v>0</v>
      </c>
      <c r="AD57" s="1493">
        <v>0</v>
      </c>
      <c r="AE57" s="1493">
        <v>0</v>
      </c>
      <c r="AF57" s="1493">
        <v>0</v>
      </c>
      <c r="AG57" s="1493">
        <v>0</v>
      </c>
      <c r="AH57" s="1493">
        <v>0</v>
      </c>
      <c r="AI57" s="1493">
        <v>0</v>
      </c>
      <c r="AJ57" s="1493">
        <v>0</v>
      </c>
      <c r="AK57" s="1493">
        <v>0</v>
      </c>
      <c r="AL57" s="1493">
        <v>0</v>
      </c>
      <c r="AM57" s="1493">
        <v>0</v>
      </c>
      <c r="AN57" s="1493">
        <v>0</v>
      </c>
      <c r="AO57" s="1493">
        <v>0</v>
      </c>
      <c r="AP57" s="1493">
        <v>0</v>
      </c>
      <c r="AQ57" s="1493">
        <v>0</v>
      </c>
      <c r="AR57" s="1493">
        <v>0</v>
      </c>
      <c r="AS57" s="1493">
        <v>0</v>
      </c>
    </row>
    <row r="58" s="1480" customFormat="1" outlineLevel="1" spans="1:45">
      <c r="A58" s="1488">
        <v>0</v>
      </c>
      <c r="B58" s="1489" t="s">
        <v>409</v>
      </c>
      <c r="C58" s="1489">
        <v>0</v>
      </c>
      <c r="D58" s="1490">
        <v>0</v>
      </c>
      <c r="E58" s="1490">
        <v>0</v>
      </c>
      <c r="F58" s="1489">
        <v>0</v>
      </c>
      <c r="G58" s="1489">
        <v>0</v>
      </c>
      <c r="H58" s="1490">
        <v>0</v>
      </c>
      <c r="I58" s="1490">
        <v>0</v>
      </c>
      <c r="J58" s="1490">
        <v>0</v>
      </c>
      <c r="K58" s="1490">
        <v>0</v>
      </c>
      <c r="L58" s="1490">
        <v>0</v>
      </c>
      <c r="M58" s="1490">
        <v>0</v>
      </c>
      <c r="N58" s="1490">
        <v>0</v>
      </c>
      <c r="O58" s="1490">
        <v>0</v>
      </c>
      <c r="P58" s="1490">
        <v>0</v>
      </c>
      <c r="Q58" s="1490">
        <v>0</v>
      </c>
      <c r="R58" s="1490">
        <v>0</v>
      </c>
      <c r="S58" s="1490">
        <v>0</v>
      </c>
      <c r="T58" s="1490">
        <v>0</v>
      </c>
      <c r="U58" s="1490">
        <v>0</v>
      </c>
      <c r="V58" s="1490">
        <v>0</v>
      </c>
      <c r="W58" s="1490">
        <v>0</v>
      </c>
      <c r="X58" s="1490">
        <v>0</v>
      </c>
      <c r="Y58" s="1490">
        <v>0</v>
      </c>
      <c r="Z58" s="1490">
        <v>0</v>
      </c>
      <c r="AA58" s="1490">
        <v>0</v>
      </c>
      <c r="AB58" s="1490">
        <v>0</v>
      </c>
      <c r="AC58" s="1490">
        <v>0</v>
      </c>
      <c r="AD58" s="1490">
        <v>0</v>
      </c>
      <c r="AE58" s="1490">
        <v>0</v>
      </c>
      <c r="AF58" s="1490">
        <v>0</v>
      </c>
      <c r="AG58" s="1490">
        <v>0</v>
      </c>
      <c r="AH58" s="1490">
        <v>0</v>
      </c>
      <c r="AI58" s="1490">
        <v>0</v>
      </c>
      <c r="AJ58" s="1490">
        <v>0</v>
      </c>
      <c r="AK58" s="1490">
        <v>0</v>
      </c>
      <c r="AL58" s="1490">
        <v>0</v>
      </c>
      <c r="AM58" s="1490">
        <v>0</v>
      </c>
      <c r="AN58" s="1490">
        <v>0</v>
      </c>
      <c r="AO58" s="1490">
        <v>0</v>
      </c>
      <c r="AP58" s="1490">
        <v>0</v>
      </c>
      <c r="AQ58" s="1490">
        <v>0</v>
      </c>
      <c r="AR58" s="1490">
        <v>0</v>
      </c>
      <c r="AS58" s="1490">
        <v>0</v>
      </c>
    </row>
    <row r="59" outlineLevel="1" spans="1:45">
      <c r="A59" s="1491">
        <v>0</v>
      </c>
      <c r="B59" s="1492" t="s">
        <v>410</v>
      </c>
      <c r="C59" s="1492">
        <v>0</v>
      </c>
      <c r="D59" s="1492">
        <v>0</v>
      </c>
      <c r="E59" s="1492">
        <v>0</v>
      </c>
      <c r="F59" s="1492">
        <v>0</v>
      </c>
      <c r="G59" s="1492">
        <v>0</v>
      </c>
      <c r="H59" s="1492">
        <v>0</v>
      </c>
      <c r="I59" s="1492">
        <v>0</v>
      </c>
      <c r="J59" s="1492">
        <v>0</v>
      </c>
      <c r="K59" s="1492">
        <v>0</v>
      </c>
      <c r="L59" s="1492">
        <v>0</v>
      </c>
      <c r="M59" s="1492">
        <v>0</v>
      </c>
      <c r="N59" s="1492">
        <v>0</v>
      </c>
      <c r="O59" s="1492">
        <v>0</v>
      </c>
      <c r="P59" s="1492">
        <v>0</v>
      </c>
      <c r="Q59" s="1492">
        <v>0</v>
      </c>
      <c r="R59" s="1492">
        <v>0</v>
      </c>
      <c r="S59" s="1492">
        <v>0</v>
      </c>
      <c r="T59" s="1492">
        <v>0</v>
      </c>
      <c r="U59" s="1492">
        <v>0</v>
      </c>
      <c r="V59" s="1492">
        <v>0</v>
      </c>
      <c r="W59" s="1492">
        <v>0</v>
      </c>
      <c r="X59" s="1492">
        <v>0</v>
      </c>
      <c r="Y59" s="1492">
        <v>0</v>
      </c>
      <c r="Z59" s="1492">
        <v>0</v>
      </c>
      <c r="AA59" s="1492">
        <v>0</v>
      </c>
      <c r="AB59" s="1492">
        <v>0</v>
      </c>
      <c r="AC59" s="1492">
        <v>0</v>
      </c>
      <c r="AD59" s="1492">
        <v>0</v>
      </c>
      <c r="AE59" s="1492">
        <v>0</v>
      </c>
      <c r="AF59" s="1492">
        <v>0</v>
      </c>
      <c r="AG59" s="1492">
        <v>0</v>
      </c>
      <c r="AH59" s="1492">
        <v>0</v>
      </c>
      <c r="AI59" s="1492">
        <v>0</v>
      </c>
      <c r="AJ59" s="1492">
        <v>0</v>
      </c>
      <c r="AK59" s="1492">
        <v>0</v>
      </c>
      <c r="AL59" s="1492">
        <v>0</v>
      </c>
      <c r="AM59" s="1492">
        <v>0</v>
      </c>
      <c r="AN59" s="1492">
        <v>0</v>
      </c>
      <c r="AO59" s="1492">
        <v>0</v>
      </c>
      <c r="AP59" s="1492">
        <v>0</v>
      </c>
      <c r="AQ59" s="1492">
        <v>0</v>
      </c>
      <c r="AR59" s="1492">
        <v>0</v>
      </c>
      <c r="AS59" s="1492">
        <v>0</v>
      </c>
    </row>
  </sheetData>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R52"/>
  <sheetViews>
    <sheetView workbookViewId="0">
      <pane xSplit="2" ySplit="2" topLeftCell="I3" activePane="bottomRight" state="frozen"/>
      <selection/>
      <selection pane="topRight"/>
      <selection pane="bottomLeft"/>
      <selection pane="bottomRight" activeCell="A1" sqref="A1:A2"/>
    </sheetView>
  </sheetViews>
  <sheetFormatPr defaultColWidth="9" defaultRowHeight="12.75"/>
  <cols>
    <col min="1" max="1" width="20" style="1446" customWidth="1"/>
    <col min="2" max="2" width="9.1" style="1447" customWidth="1"/>
    <col min="3" max="4" width="10.9" style="1447" customWidth="1"/>
    <col min="5" max="10" width="10.1" style="1447" customWidth="1"/>
    <col min="11" max="16" width="10.9" style="1447" customWidth="1"/>
    <col min="17" max="22" width="10.1" style="1447" customWidth="1"/>
    <col min="23" max="28" width="10.9" style="1447" customWidth="1"/>
    <col min="29" max="44" width="10.1" style="1447" customWidth="1"/>
    <col min="45" max="259" width="9" style="1448"/>
    <col min="260" max="260" width="16" style="1448" customWidth="1"/>
    <col min="261" max="261" width="9.1" style="1448" customWidth="1"/>
    <col min="262" max="269" width="10.9" style="1448" customWidth="1"/>
    <col min="270" max="275" width="10.1" style="1448" customWidth="1"/>
    <col min="276" max="281" width="10.9" style="1448" customWidth="1"/>
    <col min="282" max="287" width="10.1" style="1448" customWidth="1"/>
    <col min="288" max="293" width="10.9" style="1448" customWidth="1"/>
    <col min="294" max="299" width="10.1" style="1448" customWidth="1"/>
    <col min="300" max="300" width="10.9" style="1448" customWidth="1"/>
    <col min="301" max="515" width="9" style="1448"/>
    <col min="516" max="516" width="16" style="1448" customWidth="1"/>
    <col min="517" max="517" width="9.1" style="1448" customWidth="1"/>
    <col min="518" max="525" width="10.9" style="1448" customWidth="1"/>
    <col min="526" max="531" width="10.1" style="1448" customWidth="1"/>
    <col min="532" max="537" width="10.9" style="1448" customWidth="1"/>
    <col min="538" max="543" width="10.1" style="1448" customWidth="1"/>
    <col min="544" max="549" width="10.9" style="1448" customWidth="1"/>
    <col min="550" max="555" width="10.1" style="1448" customWidth="1"/>
    <col min="556" max="556" width="10.9" style="1448" customWidth="1"/>
    <col min="557" max="771" width="9" style="1448"/>
    <col min="772" max="772" width="16" style="1448" customWidth="1"/>
    <col min="773" max="773" width="9.1" style="1448" customWidth="1"/>
    <col min="774" max="781" width="10.9" style="1448" customWidth="1"/>
    <col min="782" max="787" width="10.1" style="1448" customWidth="1"/>
    <col min="788" max="793" width="10.9" style="1448" customWidth="1"/>
    <col min="794" max="799" width="10.1" style="1448" customWidth="1"/>
    <col min="800" max="805" width="10.9" style="1448" customWidth="1"/>
    <col min="806" max="811" width="10.1" style="1448" customWidth="1"/>
    <col min="812" max="812" width="10.9" style="1448" customWidth="1"/>
    <col min="813" max="1027" width="9" style="1448"/>
    <col min="1028" max="1028" width="16" style="1448" customWidth="1"/>
    <col min="1029" max="1029" width="9.1" style="1448" customWidth="1"/>
    <col min="1030" max="1037" width="10.9" style="1448" customWidth="1"/>
    <col min="1038" max="1043" width="10.1" style="1448" customWidth="1"/>
    <col min="1044" max="1049" width="10.9" style="1448" customWidth="1"/>
    <col min="1050" max="1055" width="10.1" style="1448" customWidth="1"/>
    <col min="1056" max="1061" width="10.9" style="1448" customWidth="1"/>
    <col min="1062" max="1067" width="10.1" style="1448" customWidth="1"/>
    <col min="1068" max="1068" width="10.9" style="1448" customWidth="1"/>
    <col min="1069" max="1283" width="9" style="1448"/>
    <col min="1284" max="1284" width="16" style="1448" customWidth="1"/>
    <col min="1285" max="1285" width="9.1" style="1448" customWidth="1"/>
    <col min="1286" max="1293" width="10.9" style="1448" customWidth="1"/>
    <col min="1294" max="1299" width="10.1" style="1448" customWidth="1"/>
    <col min="1300" max="1305" width="10.9" style="1448" customWidth="1"/>
    <col min="1306" max="1311" width="10.1" style="1448" customWidth="1"/>
    <col min="1312" max="1317" width="10.9" style="1448" customWidth="1"/>
    <col min="1318" max="1323" width="10.1" style="1448" customWidth="1"/>
    <col min="1324" max="1324" width="10.9" style="1448" customWidth="1"/>
    <col min="1325" max="1539" width="9" style="1448"/>
    <col min="1540" max="1540" width="16" style="1448" customWidth="1"/>
    <col min="1541" max="1541" width="9.1" style="1448" customWidth="1"/>
    <col min="1542" max="1549" width="10.9" style="1448" customWidth="1"/>
    <col min="1550" max="1555" width="10.1" style="1448" customWidth="1"/>
    <col min="1556" max="1561" width="10.9" style="1448" customWidth="1"/>
    <col min="1562" max="1567" width="10.1" style="1448" customWidth="1"/>
    <col min="1568" max="1573" width="10.9" style="1448" customWidth="1"/>
    <col min="1574" max="1579" width="10.1" style="1448" customWidth="1"/>
    <col min="1580" max="1580" width="10.9" style="1448" customWidth="1"/>
    <col min="1581" max="1795" width="9" style="1448"/>
    <col min="1796" max="1796" width="16" style="1448" customWidth="1"/>
    <col min="1797" max="1797" width="9.1" style="1448" customWidth="1"/>
    <col min="1798" max="1805" width="10.9" style="1448" customWidth="1"/>
    <col min="1806" max="1811" width="10.1" style="1448" customWidth="1"/>
    <col min="1812" max="1817" width="10.9" style="1448" customWidth="1"/>
    <col min="1818" max="1823" width="10.1" style="1448" customWidth="1"/>
    <col min="1824" max="1829" width="10.9" style="1448" customWidth="1"/>
    <col min="1830" max="1835" width="10.1" style="1448" customWidth="1"/>
    <col min="1836" max="1836" width="10.9" style="1448" customWidth="1"/>
    <col min="1837" max="2051" width="9" style="1448"/>
    <col min="2052" max="2052" width="16" style="1448" customWidth="1"/>
    <col min="2053" max="2053" width="9.1" style="1448" customWidth="1"/>
    <col min="2054" max="2061" width="10.9" style="1448" customWidth="1"/>
    <col min="2062" max="2067" width="10.1" style="1448" customWidth="1"/>
    <col min="2068" max="2073" width="10.9" style="1448" customWidth="1"/>
    <col min="2074" max="2079" width="10.1" style="1448" customWidth="1"/>
    <col min="2080" max="2085" width="10.9" style="1448" customWidth="1"/>
    <col min="2086" max="2091" width="10.1" style="1448" customWidth="1"/>
    <col min="2092" max="2092" width="10.9" style="1448" customWidth="1"/>
    <col min="2093" max="2307" width="9" style="1448"/>
    <col min="2308" max="2308" width="16" style="1448" customWidth="1"/>
    <col min="2309" max="2309" width="9.1" style="1448" customWidth="1"/>
    <col min="2310" max="2317" width="10.9" style="1448" customWidth="1"/>
    <col min="2318" max="2323" width="10.1" style="1448" customWidth="1"/>
    <col min="2324" max="2329" width="10.9" style="1448" customWidth="1"/>
    <col min="2330" max="2335" width="10.1" style="1448" customWidth="1"/>
    <col min="2336" max="2341" width="10.9" style="1448" customWidth="1"/>
    <col min="2342" max="2347" width="10.1" style="1448" customWidth="1"/>
    <col min="2348" max="2348" width="10.9" style="1448" customWidth="1"/>
    <col min="2349" max="2563" width="9" style="1448"/>
    <col min="2564" max="2564" width="16" style="1448" customWidth="1"/>
    <col min="2565" max="2565" width="9.1" style="1448" customWidth="1"/>
    <col min="2566" max="2573" width="10.9" style="1448" customWidth="1"/>
    <col min="2574" max="2579" width="10.1" style="1448" customWidth="1"/>
    <col min="2580" max="2585" width="10.9" style="1448" customWidth="1"/>
    <col min="2586" max="2591" width="10.1" style="1448" customWidth="1"/>
    <col min="2592" max="2597" width="10.9" style="1448" customWidth="1"/>
    <col min="2598" max="2603" width="10.1" style="1448" customWidth="1"/>
    <col min="2604" max="2604" width="10.9" style="1448" customWidth="1"/>
    <col min="2605" max="2819" width="9" style="1448"/>
    <col min="2820" max="2820" width="16" style="1448" customWidth="1"/>
    <col min="2821" max="2821" width="9.1" style="1448" customWidth="1"/>
    <col min="2822" max="2829" width="10.9" style="1448" customWidth="1"/>
    <col min="2830" max="2835" width="10.1" style="1448" customWidth="1"/>
    <col min="2836" max="2841" width="10.9" style="1448" customWidth="1"/>
    <col min="2842" max="2847" width="10.1" style="1448" customWidth="1"/>
    <col min="2848" max="2853" width="10.9" style="1448" customWidth="1"/>
    <col min="2854" max="2859" width="10.1" style="1448" customWidth="1"/>
    <col min="2860" max="2860" width="10.9" style="1448" customWidth="1"/>
    <col min="2861" max="3075" width="9" style="1448"/>
    <col min="3076" max="3076" width="16" style="1448" customWidth="1"/>
    <col min="3077" max="3077" width="9.1" style="1448" customWidth="1"/>
    <col min="3078" max="3085" width="10.9" style="1448" customWidth="1"/>
    <col min="3086" max="3091" width="10.1" style="1448" customWidth="1"/>
    <col min="3092" max="3097" width="10.9" style="1448" customWidth="1"/>
    <col min="3098" max="3103" width="10.1" style="1448" customWidth="1"/>
    <col min="3104" max="3109" width="10.9" style="1448" customWidth="1"/>
    <col min="3110" max="3115" width="10.1" style="1448" customWidth="1"/>
    <col min="3116" max="3116" width="10.9" style="1448" customWidth="1"/>
    <col min="3117" max="3331" width="9" style="1448"/>
    <col min="3332" max="3332" width="16" style="1448" customWidth="1"/>
    <col min="3333" max="3333" width="9.1" style="1448" customWidth="1"/>
    <col min="3334" max="3341" width="10.9" style="1448" customWidth="1"/>
    <col min="3342" max="3347" width="10.1" style="1448" customWidth="1"/>
    <col min="3348" max="3353" width="10.9" style="1448" customWidth="1"/>
    <col min="3354" max="3359" width="10.1" style="1448" customWidth="1"/>
    <col min="3360" max="3365" width="10.9" style="1448" customWidth="1"/>
    <col min="3366" max="3371" width="10.1" style="1448" customWidth="1"/>
    <col min="3372" max="3372" width="10.9" style="1448" customWidth="1"/>
    <col min="3373" max="3587" width="9" style="1448"/>
    <col min="3588" max="3588" width="16" style="1448" customWidth="1"/>
    <col min="3589" max="3589" width="9.1" style="1448" customWidth="1"/>
    <col min="3590" max="3597" width="10.9" style="1448" customWidth="1"/>
    <col min="3598" max="3603" width="10.1" style="1448" customWidth="1"/>
    <col min="3604" max="3609" width="10.9" style="1448" customWidth="1"/>
    <col min="3610" max="3615" width="10.1" style="1448" customWidth="1"/>
    <col min="3616" max="3621" width="10.9" style="1448" customWidth="1"/>
    <col min="3622" max="3627" width="10.1" style="1448" customWidth="1"/>
    <col min="3628" max="3628" width="10.9" style="1448" customWidth="1"/>
    <col min="3629" max="3843" width="9" style="1448"/>
    <col min="3844" max="3844" width="16" style="1448" customWidth="1"/>
    <col min="3845" max="3845" width="9.1" style="1448" customWidth="1"/>
    <col min="3846" max="3853" width="10.9" style="1448" customWidth="1"/>
    <col min="3854" max="3859" width="10.1" style="1448" customWidth="1"/>
    <col min="3860" max="3865" width="10.9" style="1448" customWidth="1"/>
    <col min="3866" max="3871" width="10.1" style="1448" customWidth="1"/>
    <col min="3872" max="3877" width="10.9" style="1448" customWidth="1"/>
    <col min="3878" max="3883" width="10.1" style="1448" customWidth="1"/>
    <col min="3884" max="3884" width="10.9" style="1448" customWidth="1"/>
    <col min="3885" max="4099" width="9" style="1448"/>
    <col min="4100" max="4100" width="16" style="1448" customWidth="1"/>
    <col min="4101" max="4101" width="9.1" style="1448" customWidth="1"/>
    <col min="4102" max="4109" width="10.9" style="1448" customWidth="1"/>
    <col min="4110" max="4115" width="10.1" style="1448" customWidth="1"/>
    <col min="4116" max="4121" width="10.9" style="1448" customWidth="1"/>
    <col min="4122" max="4127" width="10.1" style="1448" customWidth="1"/>
    <col min="4128" max="4133" width="10.9" style="1448" customWidth="1"/>
    <col min="4134" max="4139" width="10.1" style="1448" customWidth="1"/>
    <col min="4140" max="4140" width="10.9" style="1448" customWidth="1"/>
    <col min="4141" max="4355" width="9" style="1448"/>
    <col min="4356" max="4356" width="16" style="1448" customWidth="1"/>
    <col min="4357" max="4357" width="9.1" style="1448" customWidth="1"/>
    <col min="4358" max="4365" width="10.9" style="1448" customWidth="1"/>
    <col min="4366" max="4371" width="10.1" style="1448" customWidth="1"/>
    <col min="4372" max="4377" width="10.9" style="1448" customWidth="1"/>
    <col min="4378" max="4383" width="10.1" style="1448" customWidth="1"/>
    <col min="4384" max="4389" width="10.9" style="1448" customWidth="1"/>
    <col min="4390" max="4395" width="10.1" style="1448" customWidth="1"/>
    <col min="4396" max="4396" width="10.9" style="1448" customWidth="1"/>
    <col min="4397" max="4611" width="9" style="1448"/>
    <col min="4612" max="4612" width="16" style="1448" customWidth="1"/>
    <col min="4613" max="4613" width="9.1" style="1448" customWidth="1"/>
    <col min="4614" max="4621" width="10.9" style="1448" customWidth="1"/>
    <col min="4622" max="4627" width="10.1" style="1448" customWidth="1"/>
    <col min="4628" max="4633" width="10.9" style="1448" customWidth="1"/>
    <col min="4634" max="4639" width="10.1" style="1448" customWidth="1"/>
    <col min="4640" max="4645" width="10.9" style="1448" customWidth="1"/>
    <col min="4646" max="4651" width="10.1" style="1448" customWidth="1"/>
    <col min="4652" max="4652" width="10.9" style="1448" customWidth="1"/>
    <col min="4653" max="4867" width="9" style="1448"/>
    <col min="4868" max="4868" width="16" style="1448" customWidth="1"/>
    <col min="4869" max="4869" width="9.1" style="1448" customWidth="1"/>
    <col min="4870" max="4877" width="10.9" style="1448" customWidth="1"/>
    <col min="4878" max="4883" width="10.1" style="1448" customWidth="1"/>
    <col min="4884" max="4889" width="10.9" style="1448" customWidth="1"/>
    <col min="4890" max="4895" width="10.1" style="1448" customWidth="1"/>
    <col min="4896" max="4901" width="10.9" style="1448" customWidth="1"/>
    <col min="4902" max="4907" width="10.1" style="1448" customWidth="1"/>
    <col min="4908" max="4908" width="10.9" style="1448" customWidth="1"/>
    <col min="4909" max="5123" width="9" style="1448"/>
    <col min="5124" max="5124" width="16" style="1448" customWidth="1"/>
    <col min="5125" max="5125" width="9.1" style="1448" customWidth="1"/>
    <col min="5126" max="5133" width="10.9" style="1448" customWidth="1"/>
    <col min="5134" max="5139" width="10.1" style="1448" customWidth="1"/>
    <col min="5140" max="5145" width="10.9" style="1448" customWidth="1"/>
    <col min="5146" max="5151" width="10.1" style="1448" customWidth="1"/>
    <col min="5152" max="5157" width="10.9" style="1448" customWidth="1"/>
    <col min="5158" max="5163" width="10.1" style="1448" customWidth="1"/>
    <col min="5164" max="5164" width="10.9" style="1448" customWidth="1"/>
    <col min="5165" max="5379" width="9" style="1448"/>
    <col min="5380" max="5380" width="16" style="1448" customWidth="1"/>
    <col min="5381" max="5381" width="9.1" style="1448" customWidth="1"/>
    <col min="5382" max="5389" width="10.9" style="1448" customWidth="1"/>
    <col min="5390" max="5395" width="10.1" style="1448" customWidth="1"/>
    <col min="5396" max="5401" width="10.9" style="1448" customWidth="1"/>
    <col min="5402" max="5407" width="10.1" style="1448" customWidth="1"/>
    <col min="5408" max="5413" width="10.9" style="1448" customWidth="1"/>
    <col min="5414" max="5419" width="10.1" style="1448" customWidth="1"/>
    <col min="5420" max="5420" width="10.9" style="1448" customWidth="1"/>
    <col min="5421" max="5635" width="9" style="1448"/>
    <col min="5636" max="5636" width="16" style="1448" customWidth="1"/>
    <col min="5637" max="5637" width="9.1" style="1448" customWidth="1"/>
    <col min="5638" max="5645" width="10.9" style="1448" customWidth="1"/>
    <col min="5646" max="5651" width="10.1" style="1448" customWidth="1"/>
    <col min="5652" max="5657" width="10.9" style="1448" customWidth="1"/>
    <col min="5658" max="5663" width="10.1" style="1448" customWidth="1"/>
    <col min="5664" max="5669" width="10.9" style="1448" customWidth="1"/>
    <col min="5670" max="5675" width="10.1" style="1448" customWidth="1"/>
    <col min="5676" max="5676" width="10.9" style="1448" customWidth="1"/>
    <col min="5677" max="5891" width="9" style="1448"/>
    <col min="5892" max="5892" width="16" style="1448" customWidth="1"/>
    <col min="5893" max="5893" width="9.1" style="1448" customWidth="1"/>
    <col min="5894" max="5901" width="10.9" style="1448" customWidth="1"/>
    <col min="5902" max="5907" width="10.1" style="1448" customWidth="1"/>
    <col min="5908" max="5913" width="10.9" style="1448" customWidth="1"/>
    <col min="5914" max="5919" width="10.1" style="1448" customWidth="1"/>
    <col min="5920" max="5925" width="10.9" style="1448" customWidth="1"/>
    <col min="5926" max="5931" width="10.1" style="1448" customWidth="1"/>
    <col min="5932" max="5932" width="10.9" style="1448" customWidth="1"/>
    <col min="5933" max="6147" width="9" style="1448"/>
    <col min="6148" max="6148" width="16" style="1448" customWidth="1"/>
    <col min="6149" max="6149" width="9.1" style="1448" customWidth="1"/>
    <col min="6150" max="6157" width="10.9" style="1448" customWidth="1"/>
    <col min="6158" max="6163" width="10.1" style="1448" customWidth="1"/>
    <col min="6164" max="6169" width="10.9" style="1448" customWidth="1"/>
    <col min="6170" max="6175" width="10.1" style="1448" customWidth="1"/>
    <col min="6176" max="6181" width="10.9" style="1448" customWidth="1"/>
    <col min="6182" max="6187" width="10.1" style="1448" customWidth="1"/>
    <col min="6188" max="6188" width="10.9" style="1448" customWidth="1"/>
    <col min="6189" max="6403" width="9" style="1448"/>
    <col min="6404" max="6404" width="16" style="1448" customWidth="1"/>
    <col min="6405" max="6405" width="9.1" style="1448" customWidth="1"/>
    <col min="6406" max="6413" width="10.9" style="1448" customWidth="1"/>
    <col min="6414" max="6419" width="10.1" style="1448" customWidth="1"/>
    <col min="6420" max="6425" width="10.9" style="1448" customWidth="1"/>
    <col min="6426" max="6431" width="10.1" style="1448" customWidth="1"/>
    <col min="6432" max="6437" width="10.9" style="1448" customWidth="1"/>
    <col min="6438" max="6443" width="10.1" style="1448" customWidth="1"/>
    <col min="6444" max="6444" width="10.9" style="1448" customWidth="1"/>
    <col min="6445" max="6659" width="9" style="1448"/>
    <col min="6660" max="6660" width="16" style="1448" customWidth="1"/>
    <col min="6661" max="6661" width="9.1" style="1448" customWidth="1"/>
    <col min="6662" max="6669" width="10.9" style="1448" customWidth="1"/>
    <col min="6670" max="6675" width="10.1" style="1448" customWidth="1"/>
    <col min="6676" max="6681" width="10.9" style="1448" customWidth="1"/>
    <col min="6682" max="6687" width="10.1" style="1448" customWidth="1"/>
    <col min="6688" max="6693" width="10.9" style="1448" customWidth="1"/>
    <col min="6694" max="6699" width="10.1" style="1448" customWidth="1"/>
    <col min="6700" max="6700" width="10.9" style="1448" customWidth="1"/>
    <col min="6701" max="6915" width="9" style="1448"/>
    <col min="6916" max="6916" width="16" style="1448" customWidth="1"/>
    <col min="6917" max="6917" width="9.1" style="1448" customWidth="1"/>
    <col min="6918" max="6925" width="10.9" style="1448" customWidth="1"/>
    <col min="6926" max="6931" width="10.1" style="1448" customWidth="1"/>
    <col min="6932" max="6937" width="10.9" style="1448" customWidth="1"/>
    <col min="6938" max="6943" width="10.1" style="1448" customWidth="1"/>
    <col min="6944" max="6949" width="10.9" style="1448" customWidth="1"/>
    <col min="6950" max="6955" width="10.1" style="1448" customWidth="1"/>
    <col min="6956" max="6956" width="10.9" style="1448" customWidth="1"/>
    <col min="6957" max="7171" width="9" style="1448"/>
    <col min="7172" max="7172" width="16" style="1448" customWidth="1"/>
    <col min="7173" max="7173" width="9.1" style="1448" customWidth="1"/>
    <col min="7174" max="7181" width="10.9" style="1448" customWidth="1"/>
    <col min="7182" max="7187" width="10.1" style="1448" customWidth="1"/>
    <col min="7188" max="7193" width="10.9" style="1448" customWidth="1"/>
    <col min="7194" max="7199" width="10.1" style="1448" customWidth="1"/>
    <col min="7200" max="7205" width="10.9" style="1448" customWidth="1"/>
    <col min="7206" max="7211" width="10.1" style="1448" customWidth="1"/>
    <col min="7212" max="7212" width="10.9" style="1448" customWidth="1"/>
    <col min="7213" max="7427" width="9" style="1448"/>
    <col min="7428" max="7428" width="16" style="1448" customWidth="1"/>
    <col min="7429" max="7429" width="9.1" style="1448" customWidth="1"/>
    <col min="7430" max="7437" width="10.9" style="1448" customWidth="1"/>
    <col min="7438" max="7443" width="10.1" style="1448" customWidth="1"/>
    <col min="7444" max="7449" width="10.9" style="1448" customWidth="1"/>
    <col min="7450" max="7455" width="10.1" style="1448" customWidth="1"/>
    <col min="7456" max="7461" width="10.9" style="1448" customWidth="1"/>
    <col min="7462" max="7467" width="10.1" style="1448" customWidth="1"/>
    <col min="7468" max="7468" width="10.9" style="1448" customWidth="1"/>
    <col min="7469" max="7683" width="9" style="1448"/>
    <col min="7684" max="7684" width="16" style="1448" customWidth="1"/>
    <col min="7685" max="7685" width="9.1" style="1448" customWidth="1"/>
    <col min="7686" max="7693" width="10.9" style="1448" customWidth="1"/>
    <col min="7694" max="7699" width="10.1" style="1448" customWidth="1"/>
    <col min="7700" max="7705" width="10.9" style="1448" customWidth="1"/>
    <col min="7706" max="7711" width="10.1" style="1448" customWidth="1"/>
    <col min="7712" max="7717" width="10.9" style="1448" customWidth="1"/>
    <col min="7718" max="7723" width="10.1" style="1448" customWidth="1"/>
    <col min="7724" max="7724" width="10.9" style="1448" customWidth="1"/>
    <col min="7725" max="7939" width="9" style="1448"/>
    <col min="7940" max="7940" width="16" style="1448" customWidth="1"/>
    <col min="7941" max="7941" width="9.1" style="1448" customWidth="1"/>
    <col min="7942" max="7949" width="10.9" style="1448" customWidth="1"/>
    <col min="7950" max="7955" width="10.1" style="1448" customWidth="1"/>
    <col min="7956" max="7961" width="10.9" style="1448" customWidth="1"/>
    <col min="7962" max="7967" width="10.1" style="1448" customWidth="1"/>
    <col min="7968" max="7973" width="10.9" style="1448" customWidth="1"/>
    <col min="7974" max="7979" width="10.1" style="1448" customWidth="1"/>
    <col min="7980" max="7980" width="10.9" style="1448" customWidth="1"/>
    <col min="7981" max="8195" width="9" style="1448"/>
    <col min="8196" max="8196" width="16" style="1448" customWidth="1"/>
    <col min="8197" max="8197" width="9.1" style="1448" customWidth="1"/>
    <col min="8198" max="8205" width="10.9" style="1448" customWidth="1"/>
    <col min="8206" max="8211" width="10.1" style="1448" customWidth="1"/>
    <col min="8212" max="8217" width="10.9" style="1448" customWidth="1"/>
    <col min="8218" max="8223" width="10.1" style="1448" customWidth="1"/>
    <col min="8224" max="8229" width="10.9" style="1448" customWidth="1"/>
    <col min="8230" max="8235" width="10.1" style="1448" customWidth="1"/>
    <col min="8236" max="8236" width="10.9" style="1448" customWidth="1"/>
    <col min="8237" max="8451" width="9" style="1448"/>
    <col min="8452" max="8452" width="16" style="1448" customWidth="1"/>
    <col min="8453" max="8453" width="9.1" style="1448" customWidth="1"/>
    <col min="8454" max="8461" width="10.9" style="1448" customWidth="1"/>
    <col min="8462" max="8467" width="10.1" style="1448" customWidth="1"/>
    <col min="8468" max="8473" width="10.9" style="1448" customWidth="1"/>
    <col min="8474" max="8479" width="10.1" style="1448" customWidth="1"/>
    <col min="8480" max="8485" width="10.9" style="1448" customWidth="1"/>
    <col min="8486" max="8491" width="10.1" style="1448" customWidth="1"/>
    <col min="8492" max="8492" width="10.9" style="1448" customWidth="1"/>
    <col min="8493" max="8707" width="9" style="1448"/>
    <col min="8708" max="8708" width="16" style="1448" customWidth="1"/>
    <col min="8709" max="8709" width="9.1" style="1448" customWidth="1"/>
    <col min="8710" max="8717" width="10.9" style="1448" customWidth="1"/>
    <col min="8718" max="8723" width="10.1" style="1448" customWidth="1"/>
    <col min="8724" max="8729" width="10.9" style="1448" customWidth="1"/>
    <col min="8730" max="8735" width="10.1" style="1448" customWidth="1"/>
    <col min="8736" max="8741" width="10.9" style="1448" customWidth="1"/>
    <col min="8742" max="8747" width="10.1" style="1448" customWidth="1"/>
    <col min="8748" max="8748" width="10.9" style="1448" customWidth="1"/>
    <col min="8749" max="8963" width="9" style="1448"/>
    <col min="8964" max="8964" width="16" style="1448" customWidth="1"/>
    <col min="8965" max="8965" width="9.1" style="1448" customWidth="1"/>
    <col min="8966" max="8973" width="10.9" style="1448" customWidth="1"/>
    <col min="8974" max="8979" width="10.1" style="1448" customWidth="1"/>
    <col min="8980" max="8985" width="10.9" style="1448" customWidth="1"/>
    <col min="8986" max="8991" width="10.1" style="1448" customWidth="1"/>
    <col min="8992" max="8997" width="10.9" style="1448" customWidth="1"/>
    <col min="8998" max="9003" width="10.1" style="1448" customWidth="1"/>
    <col min="9004" max="9004" width="10.9" style="1448" customWidth="1"/>
    <col min="9005" max="9219" width="9" style="1448"/>
    <col min="9220" max="9220" width="16" style="1448" customWidth="1"/>
    <col min="9221" max="9221" width="9.1" style="1448" customWidth="1"/>
    <col min="9222" max="9229" width="10.9" style="1448" customWidth="1"/>
    <col min="9230" max="9235" width="10.1" style="1448" customWidth="1"/>
    <col min="9236" max="9241" width="10.9" style="1448" customWidth="1"/>
    <col min="9242" max="9247" width="10.1" style="1448" customWidth="1"/>
    <col min="9248" max="9253" width="10.9" style="1448" customWidth="1"/>
    <col min="9254" max="9259" width="10.1" style="1448" customWidth="1"/>
    <col min="9260" max="9260" width="10.9" style="1448" customWidth="1"/>
    <col min="9261" max="9475" width="9" style="1448"/>
    <col min="9476" max="9476" width="16" style="1448" customWidth="1"/>
    <col min="9477" max="9477" width="9.1" style="1448" customWidth="1"/>
    <col min="9478" max="9485" width="10.9" style="1448" customWidth="1"/>
    <col min="9486" max="9491" width="10.1" style="1448" customWidth="1"/>
    <col min="9492" max="9497" width="10.9" style="1448" customWidth="1"/>
    <col min="9498" max="9503" width="10.1" style="1448" customWidth="1"/>
    <col min="9504" max="9509" width="10.9" style="1448" customWidth="1"/>
    <col min="9510" max="9515" width="10.1" style="1448" customWidth="1"/>
    <col min="9516" max="9516" width="10.9" style="1448" customWidth="1"/>
    <col min="9517" max="9731" width="9" style="1448"/>
    <col min="9732" max="9732" width="16" style="1448" customWidth="1"/>
    <col min="9733" max="9733" width="9.1" style="1448" customWidth="1"/>
    <col min="9734" max="9741" width="10.9" style="1448" customWidth="1"/>
    <col min="9742" max="9747" width="10.1" style="1448" customWidth="1"/>
    <col min="9748" max="9753" width="10.9" style="1448" customWidth="1"/>
    <col min="9754" max="9759" width="10.1" style="1448" customWidth="1"/>
    <col min="9760" max="9765" width="10.9" style="1448" customWidth="1"/>
    <col min="9766" max="9771" width="10.1" style="1448" customWidth="1"/>
    <col min="9772" max="9772" width="10.9" style="1448" customWidth="1"/>
    <col min="9773" max="9987" width="9" style="1448"/>
    <col min="9988" max="9988" width="16" style="1448" customWidth="1"/>
    <col min="9989" max="9989" width="9.1" style="1448" customWidth="1"/>
    <col min="9990" max="9997" width="10.9" style="1448" customWidth="1"/>
    <col min="9998" max="10003" width="10.1" style="1448" customWidth="1"/>
    <col min="10004" max="10009" width="10.9" style="1448" customWidth="1"/>
    <col min="10010" max="10015" width="10.1" style="1448" customWidth="1"/>
    <col min="10016" max="10021" width="10.9" style="1448" customWidth="1"/>
    <col min="10022" max="10027" width="10.1" style="1448" customWidth="1"/>
    <col min="10028" max="10028" width="10.9" style="1448" customWidth="1"/>
    <col min="10029" max="10243" width="9" style="1448"/>
    <col min="10244" max="10244" width="16" style="1448" customWidth="1"/>
    <col min="10245" max="10245" width="9.1" style="1448" customWidth="1"/>
    <col min="10246" max="10253" width="10.9" style="1448" customWidth="1"/>
    <col min="10254" max="10259" width="10.1" style="1448" customWidth="1"/>
    <col min="10260" max="10265" width="10.9" style="1448" customWidth="1"/>
    <col min="10266" max="10271" width="10.1" style="1448" customWidth="1"/>
    <col min="10272" max="10277" width="10.9" style="1448" customWidth="1"/>
    <col min="10278" max="10283" width="10.1" style="1448" customWidth="1"/>
    <col min="10284" max="10284" width="10.9" style="1448" customWidth="1"/>
    <col min="10285" max="10499" width="9" style="1448"/>
    <col min="10500" max="10500" width="16" style="1448" customWidth="1"/>
    <col min="10501" max="10501" width="9.1" style="1448" customWidth="1"/>
    <col min="10502" max="10509" width="10.9" style="1448" customWidth="1"/>
    <col min="10510" max="10515" width="10.1" style="1448" customWidth="1"/>
    <col min="10516" max="10521" width="10.9" style="1448" customWidth="1"/>
    <col min="10522" max="10527" width="10.1" style="1448" customWidth="1"/>
    <col min="10528" max="10533" width="10.9" style="1448" customWidth="1"/>
    <col min="10534" max="10539" width="10.1" style="1448" customWidth="1"/>
    <col min="10540" max="10540" width="10.9" style="1448" customWidth="1"/>
    <col min="10541" max="10755" width="9" style="1448"/>
    <col min="10756" max="10756" width="16" style="1448" customWidth="1"/>
    <col min="10757" max="10757" width="9.1" style="1448" customWidth="1"/>
    <col min="10758" max="10765" width="10.9" style="1448" customWidth="1"/>
    <col min="10766" max="10771" width="10.1" style="1448" customWidth="1"/>
    <col min="10772" max="10777" width="10.9" style="1448" customWidth="1"/>
    <col min="10778" max="10783" width="10.1" style="1448" customWidth="1"/>
    <col min="10784" max="10789" width="10.9" style="1448" customWidth="1"/>
    <col min="10790" max="10795" width="10.1" style="1448" customWidth="1"/>
    <col min="10796" max="10796" width="10.9" style="1448" customWidth="1"/>
    <col min="10797" max="11011" width="9" style="1448"/>
    <col min="11012" max="11012" width="16" style="1448" customWidth="1"/>
    <col min="11013" max="11013" width="9.1" style="1448" customWidth="1"/>
    <col min="11014" max="11021" width="10.9" style="1448" customWidth="1"/>
    <col min="11022" max="11027" width="10.1" style="1448" customWidth="1"/>
    <col min="11028" max="11033" width="10.9" style="1448" customWidth="1"/>
    <col min="11034" max="11039" width="10.1" style="1448" customWidth="1"/>
    <col min="11040" max="11045" width="10.9" style="1448" customWidth="1"/>
    <col min="11046" max="11051" width="10.1" style="1448" customWidth="1"/>
    <col min="11052" max="11052" width="10.9" style="1448" customWidth="1"/>
    <col min="11053" max="11267" width="9" style="1448"/>
    <col min="11268" max="11268" width="16" style="1448" customWidth="1"/>
    <col min="11269" max="11269" width="9.1" style="1448" customWidth="1"/>
    <col min="11270" max="11277" width="10.9" style="1448" customWidth="1"/>
    <col min="11278" max="11283" width="10.1" style="1448" customWidth="1"/>
    <col min="11284" max="11289" width="10.9" style="1448" customWidth="1"/>
    <col min="11290" max="11295" width="10.1" style="1448" customWidth="1"/>
    <col min="11296" max="11301" width="10.9" style="1448" customWidth="1"/>
    <col min="11302" max="11307" width="10.1" style="1448" customWidth="1"/>
    <col min="11308" max="11308" width="10.9" style="1448" customWidth="1"/>
    <col min="11309" max="11523" width="9" style="1448"/>
    <col min="11524" max="11524" width="16" style="1448" customWidth="1"/>
    <col min="11525" max="11525" width="9.1" style="1448" customWidth="1"/>
    <col min="11526" max="11533" width="10.9" style="1448" customWidth="1"/>
    <col min="11534" max="11539" width="10.1" style="1448" customWidth="1"/>
    <col min="11540" max="11545" width="10.9" style="1448" customWidth="1"/>
    <col min="11546" max="11551" width="10.1" style="1448" customWidth="1"/>
    <col min="11552" max="11557" width="10.9" style="1448" customWidth="1"/>
    <col min="11558" max="11563" width="10.1" style="1448" customWidth="1"/>
    <col min="11564" max="11564" width="10.9" style="1448" customWidth="1"/>
    <col min="11565" max="11779" width="9" style="1448"/>
    <col min="11780" max="11780" width="16" style="1448" customWidth="1"/>
    <col min="11781" max="11781" width="9.1" style="1448" customWidth="1"/>
    <col min="11782" max="11789" width="10.9" style="1448" customWidth="1"/>
    <col min="11790" max="11795" width="10.1" style="1448" customWidth="1"/>
    <col min="11796" max="11801" width="10.9" style="1448" customWidth="1"/>
    <col min="11802" max="11807" width="10.1" style="1448" customWidth="1"/>
    <col min="11808" max="11813" width="10.9" style="1448" customWidth="1"/>
    <col min="11814" max="11819" width="10.1" style="1448" customWidth="1"/>
    <col min="11820" max="11820" width="10.9" style="1448" customWidth="1"/>
    <col min="11821" max="12035" width="9" style="1448"/>
    <col min="12036" max="12036" width="16" style="1448" customWidth="1"/>
    <col min="12037" max="12037" width="9.1" style="1448" customWidth="1"/>
    <col min="12038" max="12045" width="10.9" style="1448" customWidth="1"/>
    <col min="12046" max="12051" width="10.1" style="1448" customWidth="1"/>
    <col min="12052" max="12057" width="10.9" style="1448" customWidth="1"/>
    <col min="12058" max="12063" width="10.1" style="1448" customWidth="1"/>
    <col min="12064" max="12069" width="10.9" style="1448" customWidth="1"/>
    <col min="12070" max="12075" width="10.1" style="1448" customWidth="1"/>
    <col min="12076" max="12076" width="10.9" style="1448" customWidth="1"/>
    <col min="12077" max="12291" width="9" style="1448"/>
    <col min="12292" max="12292" width="16" style="1448" customWidth="1"/>
    <col min="12293" max="12293" width="9.1" style="1448" customWidth="1"/>
    <col min="12294" max="12301" width="10.9" style="1448" customWidth="1"/>
    <col min="12302" max="12307" width="10.1" style="1448" customWidth="1"/>
    <col min="12308" max="12313" width="10.9" style="1448" customWidth="1"/>
    <col min="12314" max="12319" width="10.1" style="1448" customWidth="1"/>
    <col min="12320" max="12325" width="10.9" style="1448" customWidth="1"/>
    <col min="12326" max="12331" width="10.1" style="1448" customWidth="1"/>
    <col min="12332" max="12332" width="10.9" style="1448" customWidth="1"/>
    <col min="12333" max="12547" width="9" style="1448"/>
    <col min="12548" max="12548" width="16" style="1448" customWidth="1"/>
    <col min="12549" max="12549" width="9.1" style="1448" customWidth="1"/>
    <col min="12550" max="12557" width="10.9" style="1448" customWidth="1"/>
    <col min="12558" max="12563" width="10.1" style="1448" customWidth="1"/>
    <col min="12564" max="12569" width="10.9" style="1448" customWidth="1"/>
    <col min="12570" max="12575" width="10.1" style="1448" customWidth="1"/>
    <col min="12576" max="12581" width="10.9" style="1448" customWidth="1"/>
    <col min="12582" max="12587" width="10.1" style="1448" customWidth="1"/>
    <col min="12588" max="12588" width="10.9" style="1448" customWidth="1"/>
    <col min="12589" max="12803" width="9" style="1448"/>
    <col min="12804" max="12804" width="16" style="1448" customWidth="1"/>
    <col min="12805" max="12805" width="9.1" style="1448" customWidth="1"/>
    <col min="12806" max="12813" width="10.9" style="1448" customWidth="1"/>
    <col min="12814" max="12819" width="10.1" style="1448" customWidth="1"/>
    <col min="12820" max="12825" width="10.9" style="1448" customWidth="1"/>
    <col min="12826" max="12831" width="10.1" style="1448" customWidth="1"/>
    <col min="12832" max="12837" width="10.9" style="1448" customWidth="1"/>
    <col min="12838" max="12843" width="10.1" style="1448" customWidth="1"/>
    <col min="12844" max="12844" width="10.9" style="1448" customWidth="1"/>
    <col min="12845" max="13059" width="9" style="1448"/>
    <col min="13060" max="13060" width="16" style="1448" customWidth="1"/>
    <col min="13061" max="13061" width="9.1" style="1448" customWidth="1"/>
    <col min="13062" max="13069" width="10.9" style="1448" customWidth="1"/>
    <col min="13070" max="13075" width="10.1" style="1448" customWidth="1"/>
    <col min="13076" max="13081" width="10.9" style="1448" customWidth="1"/>
    <col min="13082" max="13087" width="10.1" style="1448" customWidth="1"/>
    <col min="13088" max="13093" width="10.9" style="1448" customWidth="1"/>
    <col min="13094" max="13099" width="10.1" style="1448" customWidth="1"/>
    <col min="13100" max="13100" width="10.9" style="1448" customWidth="1"/>
    <col min="13101" max="13315" width="9" style="1448"/>
    <col min="13316" max="13316" width="16" style="1448" customWidth="1"/>
    <col min="13317" max="13317" width="9.1" style="1448" customWidth="1"/>
    <col min="13318" max="13325" width="10.9" style="1448" customWidth="1"/>
    <col min="13326" max="13331" width="10.1" style="1448" customWidth="1"/>
    <col min="13332" max="13337" width="10.9" style="1448" customWidth="1"/>
    <col min="13338" max="13343" width="10.1" style="1448" customWidth="1"/>
    <col min="13344" max="13349" width="10.9" style="1448" customWidth="1"/>
    <col min="13350" max="13355" width="10.1" style="1448" customWidth="1"/>
    <col min="13356" max="13356" width="10.9" style="1448" customWidth="1"/>
    <col min="13357" max="13571" width="9" style="1448"/>
    <col min="13572" max="13572" width="16" style="1448" customWidth="1"/>
    <col min="13573" max="13573" width="9.1" style="1448" customWidth="1"/>
    <col min="13574" max="13581" width="10.9" style="1448" customWidth="1"/>
    <col min="13582" max="13587" width="10.1" style="1448" customWidth="1"/>
    <col min="13588" max="13593" width="10.9" style="1448" customWidth="1"/>
    <col min="13594" max="13599" width="10.1" style="1448" customWidth="1"/>
    <col min="13600" max="13605" width="10.9" style="1448" customWidth="1"/>
    <col min="13606" max="13611" width="10.1" style="1448" customWidth="1"/>
    <col min="13612" max="13612" width="10.9" style="1448" customWidth="1"/>
    <col min="13613" max="13827" width="9" style="1448"/>
    <col min="13828" max="13828" width="16" style="1448" customWidth="1"/>
    <col min="13829" max="13829" width="9.1" style="1448" customWidth="1"/>
    <col min="13830" max="13837" width="10.9" style="1448" customWidth="1"/>
    <col min="13838" max="13843" width="10.1" style="1448" customWidth="1"/>
    <col min="13844" max="13849" width="10.9" style="1448" customWidth="1"/>
    <col min="13850" max="13855" width="10.1" style="1448" customWidth="1"/>
    <col min="13856" max="13861" width="10.9" style="1448" customWidth="1"/>
    <col min="13862" max="13867" width="10.1" style="1448" customWidth="1"/>
    <col min="13868" max="13868" width="10.9" style="1448" customWidth="1"/>
    <col min="13869" max="14083" width="9" style="1448"/>
    <col min="14084" max="14084" width="16" style="1448" customWidth="1"/>
    <col min="14085" max="14085" width="9.1" style="1448" customWidth="1"/>
    <col min="14086" max="14093" width="10.9" style="1448" customWidth="1"/>
    <col min="14094" max="14099" width="10.1" style="1448" customWidth="1"/>
    <col min="14100" max="14105" width="10.9" style="1448" customWidth="1"/>
    <col min="14106" max="14111" width="10.1" style="1448" customWidth="1"/>
    <col min="14112" max="14117" width="10.9" style="1448" customWidth="1"/>
    <col min="14118" max="14123" width="10.1" style="1448" customWidth="1"/>
    <col min="14124" max="14124" width="10.9" style="1448" customWidth="1"/>
    <col min="14125" max="14339" width="9" style="1448"/>
    <col min="14340" max="14340" width="16" style="1448" customWidth="1"/>
    <col min="14341" max="14341" width="9.1" style="1448" customWidth="1"/>
    <col min="14342" max="14349" width="10.9" style="1448" customWidth="1"/>
    <col min="14350" max="14355" width="10.1" style="1448" customWidth="1"/>
    <col min="14356" max="14361" width="10.9" style="1448" customWidth="1"/>
    <col min="14362" max="14367" width="10.1" style="1448" customWidth="1"/>
    <col min="14368" max="14373" width="10.9" style="1448" customWidth="1"/>
    <col min="14374" max="14379" width="10.1" style="1448" customWidth="1"/>
    <col min="14380" max="14380" width="10.9" style="1448" customWidth="1"/>
    <col min="14381" max="14595" width="9" style="1448"/>
    <col min="14596" max="14596" width="16" style="1448" customWidth="1"/>
    <col min="14597" max="14597" width="9.1" style="1448" customWidth="1"/>
    <col min="14598" max="14605" width="10.9" style="1448" customWidth="1"/>
    <col min="14606" max="14611" width="10.1" style="1448" customWidth="1"/>
    <col min="14612" max="14617" width="10.9" style="1448" customWidth="1"/>
    <col min="14618" max="14623" width="10.1" style="1448" customWidth="1"/>
    <col min="14624" max="14629" width="10.9" style="1448" customWidth="1"/>
    <col min="14630" max="14635" width="10.1" style="1448" customWidth="1"/>
    <col min="14636" max="14636" width="10.9" style="1448" customWidth="1"/>
    <col min="14637" max="14851" width="9" style="1448"/>
    <col min="14852" max="14852" width="16" style="1448" customWidth="1"/>
    <col min="14853" max="14853" width="9.1" style="1448" customWidth="1"/>
    <col min="14854" max="14861" width="10.9" style="1448" customWidth="1"/>
    <col min="14862" max="14867" width="10.1" style="1448" customWidth="1"/>
    <col min="14868" max="14873" width="10.9" style="1448" customWidth="1"/>
    <col min="14874" max="14879" width="10.1" style="1448" customWidth="1"/>
    <col min="14880" max="14885" width="10.9" style="1448" customWidth="1"/>
    <col min="14886" max="14891" width="10.1" style="1448" customWidth="1"/>
    <col min="14892" max="14892" width="10.9" style="1448" customWidth="1"/>
    <col min="14893" max="15107" width="9" style="1448"/>
    <col min="15108" max="15108" width="16" style="1448" customWidth="1"/>
    <col min="15109" max="15109" width="9.1" style="1448" customWidth="1"/>
    <col min="15110" max="15117" width="10.9" style="1448" customWidth="1"/>
    <col min="15118" max="15123" width="10.1" style="1448" customWidth="1"/>
    <col min="15124" max="15129" width="10.9" style="1448" customWidth="1"/>
    <col min="15130" max="15135" width="10.1" style="1448" customWidth="1"/>
    <col min="15136" max="15141" width="10.9" style="1448" customWidth="1"/>
    <col min="15142" max="15147" width="10.1" style="1448" customWidth="1"/>
    <col min="15148" max="15148" width="10.9" style="1448" customWidth="1"/>
    <col min="15149" max="15363" width="9" style="1448"/>
    <col min="15364" max="15364" width="16" style="1448" customWidth="1"/>
    <col min="15365" max="15365" width="9.1" style="1448" customWidth="1"/>
    <col min="15366" max="15373" width="10.9" style="1448" customWidth="1"/>
    <col min="15374" max="15379" width="10.1" style="1448" customWidth="1"/>
    <col min="15380" max="15385" width="10.9" style="1448" customWidth="1"/>
    <col min="15386" max="15391" width="10.1" style="1448" customWidth="1"/>
    <col min="15392" max="15397" width="10.9" style="1448" customWidth="1"/>
    <col min="15398" max="15403" width="10.1" style="1448" customWidth="1"/>
    <col min="15404" max="15404" width="10.9" style="1448" customWidth="1"/>
    <col min="15405" max="15619" width="9" style="1448"/>
    <col min="15620" max="15620" width="16" style="1448" customWidth="1"/>
    <col min="15621" max="15621" width="9.1" style="1448" customWidth="1"/>
    <col min="15622" max="15629" width="10.9" style="1448" customWidth="1"/>
    <col min="15630" max="15635" width="10.1" style="1448" customWidth="1"/>
    <col min="15636" max="15641" width="10.9" style="1448" customWidth="1"/>
    <col min="15642" max="15647" width="10.1" style="1448" customWidth="1"/>
    <col min="15648" max="15653" width="10.9" style="1448" customWidth="1"/>
    <col min="15654" max="15659" width="10.1" style="1448" customWidth="1"/>
    <col min="15660" max="15660" width="10.9" style="1448" customWidth="1"/>
    <col min="15661" max="15875" width="9" style="1448"/>
    <col min="15876" max="15876" width="16" style="1448" customWidth="1"/>
    <col min="15877" max="15877" width="9.1" style="1448" customWidth="1"/>
    <col min="15878" max="15885" width="10.9" style="1448" customWidth="1"/>
    <col min="15886" max="15891" width="10.1" style="1448" customWidth="1"/>
    <col min="15892" max="15897" width="10.9" style="1448" customWidth="1"/>
    <col min="15898" max="15903" width="10.1" style="1448" customWidth="1"/>
    <col min="15904" max="15909" width="10.9" style="1448" customWidth="1"/>
    <col min="15910" max="15915" width="10.1" style="1448" customWidth="1"/>
    <col min="15916" max="15916" width="10.9" style="1448" customWidth="1"/>
    <col min="15917" max="16131" width="9" style="1448"/>
    <col min="16132" max="16132" width="16" style="1448" customWidth="1"/>
    <col min="16133" max="16133" width="9.1" style="1448" customWidth="1"/>
    <col min="16134" max="16141" width="10.9" style="1448" customWidth="1"/>
    <col min="16142" max="16147" width="10.1" style="1448" customWidth="1"/>
    <col min="16148" max="16153" width="10.9" style="1448" customWidth="1"/>
    <col min="16154" max="16159" width="10.1" style="1448" customWidth="1"/>
    <col min="16160" max="16165" width="10.9" style="1448" customWidth="1"/>
    <col min="16166" max="16171" width="10.1" style="1448" customWidth="1"/>
    <col min="16172" max="16172" width="10.9" style="1448" customWidth="1"/>
    <col min="16173" max="16384" width="9" style="1448"/>
  </cols>
  <sheetData>
    <row r="1" s="1443" customFormat="1" spans="1:44">
      <c r="A1" s="1449" t="s">
        <v>1</v>
      </c>
      <c r="B1" s="1450" t="s">
        <v>2</v>
      </c>
      <c r="C1" s="1451" t="s">
        <v>290</v>
      </c>
      <c r="D1" s="1451" t="s">
        <v>290</v>
      </c>
      <c r="E1" s="1451" t="s">
        <v>291</v>
      </c>
      <c r="F1" s="1451" t="s">
        <v>291</v>
      </c>
      <c r="G1" s="1451" t="s">
        <v>291</v>
      </c>
      <c r="H1" s="1451" t="s">
        <v>291</v>
      </c>
      <c r="I1" s="1451" t="s">
        <v>292</v>
      </c>
      <c r="J1" s="1451" t="s">
        <v>292</v>
      </c>
      <c r="K1" s="1451" t="s">
        <v>292</v>
      </c>
      <c r="L1" s="1451" t="s">
        <v>292</v>
      </c>
      <c r="M1" s="1451" t="s">
        <v>293</v>
      </c>
      <c r="N1" s="1451" t="s">
        <v>293</v>
      </c>
      <c r="O1" s="1451" t="s">
        <v>293</v>
      </c>
      <c r="P1" s="1451" t="s">
        <v>293</v>
      </c>
      <c r="Q1" s="1451" t="s">
        <v>294</v>
      </c>
      <c r="R1" s="1451" t="s">
        <v>294</v>
      </c>
      <c r="S1" s="1451" t="s">
        <v>294</v>
      </c>
      <c r="T1" s="1451" t="s">
        <v>294</v>
      </c>
      <c r="U1" s="1451" t="s">
        <v>295</v>
      </c>
      <c r="V1" s="1451" t="s">
        <v>295</v>
      </c>
      <c r="W1" s="1451" t="s">
        <v>295</v>
      </c>
      <c r="X1" s="1451" t="s">
        <v>295</v>
      </c>
      <c r="Y1" s="1451" t="s">
        <v>296</v>
      </c>
      <c r="Z1" s="1451" t="s">
        <v>296</v>
      </c>
      <c r="AA1" s="1451" t="s">
        <v>296</v>
      </c>
      <c r="AB1" s="1451" t="s">
        <v>296</v>
      </c>
      <c r="AC1" s="1451" t="s">
        <v>297</v>
      </c>
      <c r="AD1" s="1451" t="s">
        <v>297</v>
      </c>
      <c r="AE1" s="1451" t="s">
        <v>297</v>
      </c>
      <c r="AF1" s="1451" t="s">
        <v>297</v>
      </c>
      <c r="AG1" s="1451" t="s">
        <v>298</v>
      </c>
      <c r="AH1" s="1451" t="s">
        <v>298</v>
      </c>
      <c r="AI1" s="1451" t="s">
        <v>298</v>
      </c>
      <c r="AJ1" s="1451" t="s">
        <v>298</v>
      </c>
      <c r="AK1" s="1451" t="s">
        <v>299</v>
      </c>
      <c r="AL1" s="1451" t="s">
        <v>299</v>
      </c>
      <c r="AM1" s="1451" t="s">
        <v>299</v>
      </c>
      <c r="AN1" s="1451" t="s">
        <v>299</v>
      </c>
      <c r="AO1" s="1451" t="s">
        <v>300</v>
      </c>
      <c r="AP1" s="1451" t="s">
        <v>300</v>
      </c>
      <c r="AQ1" s="1451" t="s">
        <v>300</v>
      </c>
      <c r="AR1" s="1451" t="s">
        <v>300</v>
      </c>
    </row>
    <row r="2" s="1444" customFormat="1" spans="1:44">
      <c r="A2" s="1452"/>
      <c r="B2" s="1453"/>
      <c r="C2" s="1454" t="s">
        <v>119</v>
      </c>
      <c r="D2" s="1454" t="s">
        <v>120</v>
      </c>
      <c r="E2" s="1454" t="s">
        <v>121</v>
      </c>
      <c r="F2" s="1454" t="s">
        <v>122</v>
      </c>
      <c r="G2" s="1454" t="s">
        <v>123</v>
      </c>
      <c r="H2" s="1454" t="s">
        <v>124</v>
      </c>
      <c r="I2" s="1454" t="s">
        <v>125</v>
      </c>
      <c r="J2" s="1454" t="s">
        <v>126</v>
      </c>
      <c r="K2" s="1454" t="s">
        <v>127</v>
      </c>
      <c r="L2" s="1454" t="s">
        <v>128</v>
      </c>
      <c r="M2" s="1454" t="s">
        <v>129</v>
      </c>
      <c r="N2" s="1454" t="s">
        <v>130</v>
      </c>
      <c r="O2" s="1454" t="s">
        <v>131</v>
      </c>
      <c r="P2" s="1454" t="s">
        <v>132</v>
      </c>
      <c r="Q2" s="1454" t="s">
        <v>133</v>
      </c>
      <c r="R2" s="1454" t="s">
        <v>134</v>
      </c>
      <c r="S2" s="1454" t="s">
        <v>135</v>
      </c>
      <c r="T2" s="1454" t="s">
        <v>136</v>
      </c>
      <c r="U2" s="1454" t="s">
        <v>137</v>
      </c>
      <c r="V2" s="1454" t="s">
        <v>138</v>
      </c>
      <c r="W2" s="1454" t="s">
        <v>302</v>
      </c>
      <c r="X2" s="1454" t="s">
        <v>303</v>
      </c>
      <c r="Y2" s="1454" t="s">
        <v>271</v>
      </c>
      <c r="Z2" s="1454" t="s">
        <v>264</v>
      </c>
      <c r="AA2" s="1454" t="s">
        <v>304</v>
      </c>
      <c r="AB2" s="1454" t="s">
        <v>305</v>
      </c>
      <c r="AC2" s="1454" t="s">
        <v>306</v>
      </c>
      <c r="AD2" s="1454" t="s">
        <v>307</v>
      </c>
      <c r="AE2" s="1454" t="s">
        <v>308</v>
      </c>
      <c r="AF2" s="1454" t="s">
        <v>309</v>
      </c>
      <c r="AG2" s="1454" t="s">
        <v>310</v>
      </c>
      <c r="AH2" s="1454" t="s">
        <v>311</v>
      </c>
      <c r="AI2" s="1454" t="s">
        <v>312</v>
      </c>
      <c r="AJ2" s="1454" t="s">
        <v>313</v>
      </c>
      <c r="AK2" s="1454" t="s">
        <v>314</v>
      </c>
      <c r="AL2" s="1454" t="s">
        <v>315</v>
      </c>
      <c r="AM2" s="1454" t="s">
        <v>316</v>
      </c>
      <c r="AN2" s="1454" t="s">
        <v>317</v>
      </c>
      <c r="AO2" s="1454" t="s">
        <v>318</v>
      </c>
      <c r="AP2" s="1454" t="s">
        <v>319</v>
      </c>
      <c r="AQ2" s="1454" t="s">
        <v>320</v>
      </c>
      <c r="AR2" s="1454" t="s">
        <v>321</v>
      </c>
    </row>
    <row r="3" spans="1:44">
      <c r="A3" s="1455" t="s">
        <v>234</v>
      </c>
      <c r="B3" s="1456">
        <v>204543.482386762</v>
      </c>
      <c r="C3" s="1456">
        <v>0</v>
      </c>
      <c r="D3" s="1456">
        <v>0</v>
      </c>
      <c r="E3" s="1456">
        <v>0</v>
      </c>
      <c r="F3" s="1456">
        <v>0</v>
      </c>
      <c r="G3" s="1456">
        <v>0</v>
      </c>
      <c r="H3" s="1456">
        <v>0</v>
      </c>
      <c r="I3" s="1456">
        <v>0</v>
      </c>
      <c r="J3" s="1456">
        <v>0</v>
      </c>
      <c r="K3" s="1456">
        <v>0</v>
      </c>
      <c r="L3" s="1456">
        <v>0</v>
      </c>
      <c r="M3" s="1456">
        <v>0</v>
      </c>
      <c r="N3" s="1456">
        <v>0</v>
      </c>
      <c r="O3" s="1456">
        <v>0</v>
      </c>
      <c r="P3" s="1456">
        <v>23544.1852983453</v>
      </c>
      <c r="Q3" s="1456">
        <v>23544.1852983453</v>
      </c>
      <c r="R3" s="1456">
        <v>23544.1852983453</v>
      </c>
      <c r="S3" s="1456">
        <v>23544.1852983453</v>
      </c>
      <c r="T3" s="1456">
        <v>23544.1852983453</v>
      </c>
      <c r="U3" s="1456">
        <v>23544.1852983453</v>
      </c>
      <c r="V3" s="1456">
        <v>23544.1852983453</v>
      </c>
      <c r="W3" s="1456">
        <v>39734.1852983453</v>
      </c>
      <c r="X3" s="1456">
        <v>0</v>
      </c>
      <c r="Y3" s="1456">
        <v>0</v>
      </c>
      <c r="Z3" s="1456">
        <v>0</v>
      </c>
      <c r="AA3" s="1456">
        <v>0</v>
      </c>
      <c r="AB3" s="1456">
        <v>0</v>
      </c>
      <c r="AC3" s="1456">
        <v>0</v>
      </c>
      <c r="AD3" s="1456">
        <v>0</v>
      </c>
      <c r="AE3" s="1456">
        <v>0</v>
      </c>
      <c r="AF3" s="1456">
        <v>0</v>
      </c>
      <c r="AG3" s="1456">
        <v>0</v>
      </c>
      <c r="AH3" s="1456">
        <v>0</v>
      </c>
      <c r="AI3" s="1456">
        <v>0</v>
      </c>
      <c r="AJ3" s="1456">
        <v>0</v>
      </c>
      <c r="AK3" s="1456">
        <v>0</v>
      </c>
      <c r="AL3" s="1456">
        <v>0</v>
      </c>
      <c r="AM3" s="1456">
        <v>0</v>
      </c>
      <c r="AN3" s="1456">
        <v>0</v>
      </c>
      <c r="AO3" s="1456">
        <v>0</v>
      </c>
      <c r="AP3" s="1456">
        <v>0</v>
      </c>
      <c r="AQ3" s="1456">
        <v>0</v>
      </c>
      <c r="AR3" s="1456">
        <v>0</v>
      </c>
    </row>
    <row r="4" outlineLevel="1" spans="1:44">
      <c r="A4" s="1457" t="s">
        <v>50</v>
      </c>
      <c r="B4" s="1458">
        <v>94176.7411933811</v>
      </c>
      <c r="C4" s="1459">
        <v>0</v>
      </c>
      <c r="D4" s="1459">
        <v>0</v>
      </c>
      <c r="E4" s="1459">
        <v>0</v>
      </c>
      <c r="F4" s="1459">
        <v>0</v>
      </c>
      <c r="G4" s="1459">
        <v>0</v>
      </c>
      <c r="H4" s="1459">
        <v>0</v>
      </c>
      <c r="I4" s="1459">
        <v>0</v>
      </c>
      <c r="J4" s="1459">
        <v>0</v>
      </c>
      <c r="K4" s="1459">
        <v>0</v>
      </c>
      <c r="L4" s="1459">
        <v>0</v>
      </c>
      <c r="M4" s="1459">
        <v>0</v>
      </c>
      <c r="N4" s="1459">
        <v>0</v>
      </c>
      <c r="O4" s="1459">
        <v>0</v>
      </c>
      <c r="P4" s="1459">
        <v>23544.1852983453</v>
      </c>
      <c r="Q4" s="1459">
        <v>23544.1852983453</v>
      </c>
      <c r="R4" s="1459">
        <v>23544.1852983453</v>
      </c>
      <c r="S4" s="1459">
        <v>23544.1852983453</v>
      </c>
      <c r="T4" s="1459">
        <v>0</v>
      </c>
      <c r="U4" s="1459">
        <v>0</v>
      </c>
      <c r="V4" s="1459">
        <v>0</v>
      </c>
      <c r="W4" s="1459">
        <v>0</v>
      </c>
      <c r="X4" s="1459">
        <v>0</v>
      </c>
      <c r="Y4" s="1459">
        <v>0</v>
      </c>
      <c r="Z4" s="1459">
        <v>0</v>
      </c>
      <c r="AA4" s="1459">
        <v>0</v>
      </c>
      <c r="AB4" s="1459">
        <v>0</v>
      </c>
      <c r="AC4" s="1459">
        <v>0</v>
      </c>
      <c r="AD4" s="1459">
        <v>0</v>
      </c>
      <c r="AE4" s="1459">
        <v>0</v>
      </c>
      <c r="AF4" s="1459">
        <v>0</v>
      </c>
      <c r="AG4" s="1459">
        <v>0</v>
      </c>
      <c r="AH4" s="1459">
        <v>0</v>
      </c>
      <c r="AI4" s="1459">
        <v>0</v>
      </c>
      <c r="AJ4" s="1459">
        <v>0</v>
      </c>
      <c r="AK4" s="1459">
        <v>0</v>
      </c>
      <c r="AL4" s="1459">
        <v>0</v>
      </c>
      <c r="AM4" s="1459">
        <v>0</v>
      </c>
      <c r="AN4" s="1459">
        <v>0</v>
      </c>
      <c r="AO4" s="1459">
        <v>0</v>
      </c>
      <c r="AP4" s="1459">
        <v>0</v>
      </c>
      <c r="AQ4" s="1459">
        <v>0</v>
      </c>
      <c r="AR4" s="1459">
        <v>0</v>
      </c>
    </row>
    <row r="5" outlineLevel="1" spans="1:44">
      <c r="A5" s="1457" t="s">
        <v>52</v>
      </c>
      <c r="B5" s="1458">
        <v>97176.7411933811</v>
      </c>
      <c r="C5" s="1459">
        <v>0</v>
      </c>
      <c r="D5" s="1459">
        <v>0</v>
      </c>
      <c r="E5" s="1459">
        <v>0</v>
      </c>
      <c r="F5" s="1459">
        <v>0</v>
      </c>
      <c r="G5" s="1459">
        <v>0</v>
      </c>
      <c r="H5" s="1459">
        <v>0</v>
      </c>
      <c r="I5" s="1459">
        <v>0</v>
      </c>
      <c r="J5" s="1459">
        <v>0</v>
      </c>
      <c r="K5" s="1459">
        <v>0</v>
      </c>
      <c r="L5" s="1459">
        <v>0</v>
      </c>
      <c r="M5" s="1459">
        <v>0</v>
      </c>
      <c r="N5" s="1459">
        <v>0</v>
      </c>
      <c r="O5" s="1459">
        <v>0</v>
      </c>
      <c r="P5" s="1459">
        <v>0</v>
      </c>
      <c r="Q5" s="1459">
        <v>0</v>
      </c>
      <c r="R5" s="1459">
        <v>0</v>
      </c>
      <c r="S5" s="1459">
        <v>0</v>
      </c>
      <c r="T5" s="1459">
        <v>23544.1852983453</v>
      </c>
      <c r="U5" s="1459">
        <v>23544.1852983453</v>
      </c>
      <c r="V5" s="1459">
        <v>23544.1852983453</v>
      </c>
      <c r="W5" s="1459">
        <v>26544.1852983453</v>
      </c>
      <c r="X5" s="1459">
        <v>0</v>
      </c>
      <c r="Y5" s="1459">
        <v>0</v>
      </c>
      <c r="Z5" s="1459">
        <v>0</v>
      </c>
      <c r="AA5" s="1459">
        <v>0</v>
      </c>
      <c r="AB5" s="1459">
        <v>0</v>
      </c>
      <c r="AC5" s="1459">
        <v>0</v>
      </c>
      <c r="AD5" s="1459">
        <v>0</v>
      </c>
      <c r="AE5" s="1459">
        <v>0</v>
      </c>
      <c r="AF5" s="1459">
        <v>0</v>
      </c>
      <c r="AG5" s="1459">
        <v>0</v>
      </c>
      <c r="AH5" s="1459">
        <v>0</v>
      </c>
      <c r="AI5" s="1459">
        <v>0</v>
      </c>
      <c r="AJ5" s="1459">
        <v>0</v>
      </c>
      <c r="AK5" s="1459">
        <v>0</v>
      </c>
      <c r="AL5" s="1459">
        <v>0</v>
      </c>
      <c r="AM5" s="1459">
        <v>0</v>
      </c>
      <c r="AN5" s="1459">
        <v>0</v>
      </c>
      <c r="AO5" s="1459">
        <v>0</v>
      </c>
      <c r="AP5" s="1459">
        <v>0</v>
      </c>
      <c r="AQ5" s="1459">
        <v>0</v>
      </c>
      <c r="AR5" s="1459">
        <v>0</v>
      </c>
    </row>
    <row r="6" outlineLevel="1" spans="1:44">
      <c r="A6" s="1457" t="s">
        <v>53</v>
      </c>
      <c r="B6" s="1458">
        <v>13190</v>
      </c>
      <c r="C6" s="1459">
        <v>0</v>
      </c>
      <c r="D6" s="1459">
        <v>0</v>
      </c>
      <c r="E6" s="1459">
        <v>0</v>
      </c>
      <c r="F6" s="1459">
        <v>0</v>
      </c>
      <c r="G6" s="1459">
        <v>0</v>
      </c>
      <c r="H6" s="1459">
        <v>0</v>
      </c>
      <c r="I6" s="1459">
        <v>0</v>
      </c>
      <c r="J6" s="1459">
        <v>0</v>
      </c>
      <c r="K6" s="1459">
        <v>0</v>
      </c>
      <c r="L6" s="1459">
        <v>0</v>
      </c>
      <c r="M6" s="1459">
        <v>0</v>
      </c>
      <c r="N6" s="1459">
        <v>0</v>
      </c>
      <c r="O6" s="1459">
        <v>0</v>
      </c>
      <c r="P6" s="1459">
        <v>0</v>
      </c>
      <c r="Q6" s="1459">
        <v>0</v>
      </c>
      <c r="R6" s="1459">
        <v>0</v>
      </c>
      <c r="S6" s="1459">
        <v>0</v>
      </c>
      <c r="T6" s="1459">
        <v>0</v>
      </c>
      <c r="U6" s="1459">
        <v>0</v>
      </c>
      <c r="V6" s="1459">
        <v>0</v>
      </c>
      <c r="W6" s="1459">
        <v>13190</v>
      </c>
      <c r="X6" s="1459">
        <v>0</v>
      </c>
      <c r="Y6" s="1459">
        <v>0</v>
      </c>
      <c r="Z6" s="1459">
        <v>0</v>
      </c>
      <c r="AA6" s="1459">
        <v>0</v>
      </c>
      <c r="AB6" s="1459">
        <v>0</v>
      </c>
      <c r="AC6" s="1459">
        <v>0</v>
      </c>
      <c r="AD6" s="1459">
        <v>0</v>
      </c>
      <c r="AE6" s="1459">
        <v>0</v>
      </c>
      <c r="AF6" s="1459">
        <v>0</v>
      </c>
      <c r="AG6" s="1459">
        <v>0</v>
      </c>
      <c r="AH6" s="1459">
        <v>0</v>
      </c>
      <c r="AI6" s="1459">
        <v>0</v>
      </c>
      <c r="AJ6" s="1459">
        <v>0</v>
      </c>
      <c r="AK6" s="1459">
        <v>0</v>
      </c>
      <c r="AL6" s="1459">
        <v>0</v>
      </c>
      <c r="AM6" s="1459">
        <v>0</v>
      </c>
      <c r="AN6" s="1459">
        <v>0</v>
      </c>
      <c r="AO6" s="1459">
        <v>0</v>
      </c>
      <c r="AP6" s="1459">
        <v>0</v>
      </c>
      <c r="AQ6" s="1459">
        <v>0</v>
      </c>
      <c r="AR6" s="1459">
        <v>0</v>
      </c>
    </row>
    <row r="7" spans="1:44">
      <c r="A7" s="1460" t="s">
        <v>411</v>
      </c>
      <c r="B7" s="1461">
        <v>231211.303148186</v>
      </c>
      <c r="C7" s="1461">
        <v>0</v>
      </c>
      <c r="D7" s="1461">
        <v>0</v>
      </c>
      <c r="E7" s="1461">
        <v>0</v>
      </c>
      <c r="F7" s="1461">
        <v>0</v>
      </c>
      <c r="G7" s="1461">
        <v>0</v>
      </c>
      <c r="H7" s="1461">
        <v>0</v>
      </c>
      <c r="I7" s="1461">
        <v>0</v>
      </c>
      <c r="J7" s="1461">
        <v>0</v>
      </c>
      <c r="K7" s="1461">
        <v>0</v>
      </c>
      <c r="L7" s="1461">
        <v>0</v>
      </c>
      <c r="M7" s="1461">
        <v>0</v>
      </c>
      <c r="N7" s="1461">
        <v>0</v>
      </c>
      <c r="O7" s="1461">
        <v>0</v>
      </c>
      <c r="P7" s="1461">
        <v>26443.3047854151</v>
      </c>
      <c r="Q7" s="1461">
        <v>26443.3047854151</v>
      </c>
      <c r="R7" s="1461">
        <v>26443.3047854151</v>
      </c>
      <c r="S7" s="1461">
        <v>26443.3047854151</v>
      </c>
      <c r="T7" s="1461">
        <v>26443.3047854151</v>
      </c>
      <c r="U7" s="1461">
        <v>26443.3047854151</v>
      </c>
      <c r="V7" s="1461">
        <v>26443.3047854151</v>
      </c>
      <c r="W7" s="1461">
        <v>46108.16965028</v>
      </c>
      <c r="X7" s="1461">
        <v>0</v>
      </c>
      <c r="Y7" s="1461">
        <v>0</v>
      </c>
      <c r="Z7" s="1461">
        <v>0</v>
      </c>
      <c r="AA7" s="1461">
        <v>0</v>
      </c>
      <c r="AB7" s="1461">
        <v>0</v>
      </c>
      <c r="AC7" s="1461">
        <v>0</v>
      </c>
      <c r="AD7" s="1461">
        <v>0</v>
      </c>
      <c r="AE7" s="1461">
        <v>0</v>
      </c>
      <c r="AF7" s="1461">
        <v>0</v>
      </c>
      <c r="AG7" s="1461">
        <v>0</v>
      </c>
      <c r="AH7" s="1461">
        <v>0</v>
      </c>
      <c r="AI7" s="1461">
        <v>0</v>
      </c>
      <c r="AJ7" s="1461">
        <v>0</v>
      </c>
      <c r="AK7" s="1461">
        <v>0</v>
      </c>
      <c r="AL7" s="1461">
        <v>0</v>
      </c>
      <c r="AM7" s="1461">
        <v>0</v>
      </c>
      <c r="AN7" s="1461">
        <v>0</v>
      </c>
      <c r="AO7" s="1461">
        <v>0</v>
      </c>
      <c r="AP7" s="1461">
        <v>0</v>
      </c>
      <c r="AQ7" s="1461">
        <v>0</v>
      </c>
      <c r="AR7" s="1461">
        <v>0</v>
      </c>
    </row>
    <row r="8" outlineLevel="1" spans="1:44">
      <c r="A8" s="1457" t="s">
        <v>50</v>
      </c>
      <c r="B8" s="1458">
        <v>105773.21914166</v>
      </c>
      <c r="C8" s="1459">
        <v>0</v>
      </c>
      <c r="D8" s="1459">
        <v>0</v>
      </c>
      <c r="E8" s="1459">
        <v>0</v>
      </c>
      <c r="F8" s="1459">
        <v>0</v>
      </c>
      <c r="G8" s="1459">
        <v>0</v>
      </c>
      <c r="H8" s="1459">
        <v>0</v>
      </c>
      <c r="I8" s="1459">
        <v>0</v>
      </c>
      <c r="J8" s="1459">
        <v>0</v>
      </c>
      <c r="K8" s="1459">
        <v>0</v>
      </c>
      <c r="L8" s="1459">
        <v>0</v>
      </c>
      <c r="M8" s="1459">
        <v>0</v>
      </c>
      <c r="N8" s="1459">
        <v>0</v>
      </c>
      <c r="O8" s="1459">
        <v>0</v>
      </c>
      <c r="P8" s="1459">
        <v>26443.3047854151</v>
      </c>
      <c r="Q8" s="1459">
        <v>26443.3047854151</v>
      </c>
      <c r="R8" s="1459">
        <v>26443.3047854151</v>
      </c>
      <c r="S8" s="1459">
        <v>26443.3047854151</v>
      </c>
      <c r="T8" s="1459">
        <v>0</v>
      </c>
      <c r="U8" s="1459">
        <v>0</v>
      </c>
      <c r="V8" s="1459">
        <v>0</v>
      </c>
      <c r="W8" s="1459">
        <v>0</v>
      </c>
      <c r="X8" s="1459">
        <v>0</v>
      </c>
      <c r="Y8" s="1459">
        <v>0</v>
      </c>
      <c r="Z8" s="1459">
        <v>0</v>
      </c>
      <c r="AA8" s="1459">
        <v>0</v>
      </c>
      <c r="AB8" s="1459">
        <v>0</v>
      </c>
      <c r="AC8" s="1459">
        <v>0</v>
      </c>
      <c r="AD8" s="1459">
        <v>0</v>
      </c>
      <c r="AE8" s="1459">
        <v>0</v>
      </c>
      <c r="AF8" s="1459">
        <v>0</v>
      </c>
      <c r="AG8" s="1459">
        <v>0</v>
      </c>
      <c r="AH8" s="1459">
        <v>0</v>
      </c>
      <c r="AI8" s="1459">
        <v>0</v>
      </c>
      <c r="AJ8" s="1459">
        <v>0</v>
      </c>
      <c r="AK8" s="1459">
        <v>0</v>
      </c>
      <c r="AL8" s="1459">
        <v>0</v>
      </c>
      <c r="AM8" s="1459">
        <v>0</v>
      </c>
      <c r="AN8" s="1459">
        <v>0</v>
      </c>
      <c r="AO8" s="1459">
        <v>0</v>
      </c>
      <c r="AP8" s="1459">
        <v>0</v>
      </c>
      <c r="AQ8" s="1459">
        <v>0</v>
      </c>
      <c r="AR8" s="1459">
        <v>0</v>
      </c>
    </row>
    <row r="9" outlineLevel="1" spans="1:44">
      <c r="A9" s="1457" t="s">
        <v>52</v>
      </c>
      <c r="B9" s="1458">
        <v>111178.624547066</v>
      </c>
      <c r="C9" s="1459">
        <v>0</v>
      </c>
      <c r="D9" s="1459">
        <v>0</v>
      </c>
      <c r="E9" s="1459">
        <v>0</v>
      </c>
      <c r="F9" s="1459">
        <v>0</v>
      </c>
      <c r="G9" s="1459">
        <v>0</v>
      </c>
      <c r="H9" s="1459">
        <v>0</v>
      </c>
      <c r="I9" s="1459">
        <v>0</v>
      </c>
      <c r="J9" s="1459">
        <v>0</v>
      </c>
      <c r="K9" s="1459">
        <v>0</v>
      </c>
      <c r="L9" s="1459">
        <v>0</v>
      </c>
      <c r="M9" s="1459">
        <v>0</v>
      </c>
      <c r="N9" s="1459">
        <v>0</v>
      </c>
      <c r="O9" s="1459">
        <v>0</v>
      </c>
      <c r="P9" s="1459">
        <v>0</v>
      </c>
      <c r="Q9" s="1459">
        <v>0</v>
      </c>
      <c r="R9" s="1459">
        <v>0</v>
      </c>
      <c r="S9" s="1459">
        <v>0</v>
      </c>
      <c r="T9" s="1459">
        <v>26443.3047854151</v>
      </c>
      <c r="U9" s="1459">
        <v>26443.3047854151</v>
      </c>
      <c r="V9" s="1459">
        <v>26443.3047854151</v>
      </c>
      <c r="W9" s="1459">
        <v>31848.7101908205</v>
      </c>
      <c r="X9" s="1459">
        <v>0</v>
      </c>
      <c r="Y9" s="1459">
        <v>0</v>
      </c>
      <c r="Z9" s="1459">
        <v>0</v>
      </c>
      <c r="AA9" s="1459">
        <v>0</v>
      </c>
      <c r="AB9" s="1459">
        <v>0</v>
      </c>
      <c r="AC9" s="1459">
        <v>0</v>
      </c>
      <c r="AD9" s="1459">
        <v>0</v>
      </c>
      <c r="AE9" s="1459">
        <v>0</v>
      </c>
      <c r="AF9" s="1459">
        <v>0</v>
      </c>
      <c r="AG9" s="1459">
        <v>0</v>
      </c>
      <c r="AH9" s="1459">
        <v>0</v>
      </c>
      <c r="AI9" s="1459">
        <v>0</v>
      </c>
      <c r="AJ9" s="1459">
        <v>0</v>
      </c>
      <c r="AK9" s="1459">
        <v>0</v>
      </c>
      <c r="AL9" s="1459">
        <v>0</v>
      </c>
      <c r="AM9" s="1459">
        <v>0</v>
      </c>
      <c r="AN9" s="1459">
        <v>0</v>
      </c>
      <c r="AO9" s="1459">
        <v>0</v>
      </c>
      <c r="AP9" s="1459">
        <v>0</v>
      </c>
      <c r="AQ9" s="1459">
        <v>0</v>
      </c>
      <c r="AR9" s="1459">
        <v>0</v>
      </c>
    </row>
    <row r="10" outlineLevel="1" spans="1:44">
      <c r="A10" s="1457" t="s">
        <v>53</v>
      </c>
      <c r="B10" s="1458">
        <v>14259.4594594595</v>
      </c>
      <c r="C10" s="1459">
        <v>0</v>
      </c>
      <c r="D10" s="1459">
        <v>0</v>
      </c>
      <c r="E10" s="1459">
        <v>0</v>
      </c>
      <c r="F10" s="1459">
        <v>0</v>
      </c>
      <c r="G10" s="1459">
        <v>0</v>
      </c>
      <c r="H10" s="1459">
        <v>0</v>
      </c>
      <c r="I10" s="1459">
        <v>0</v>
      </c>
      <c r="J10" s="1459">
        <v>0</v>
      </c>
      <c r="K10" s="1459">
        <v>0</v>
      </c>
      <c r="L10" s="1459">
        <v>0</v>
      </c>
      <c r="M10" s="1459">
        <v>0</v>
      </c>
      <c r="N10" s="1459">
        <v>0</v>
      </c>
      <c r="O10" s="1459">
        <v>0</v>
      </c>
      <c r="P10" s="1459">
        <v>0</v>
      </c>
      <c r="Q10" s="1459">
        <v>0</v>
      </c>
      <c r="R10" s="1459">
        <v>0</v>
      </c>
      <c r="S10" s="1459">
        <v>0</v>
      </c>
      <c r="T10" s="1459">
        <v>0</v>
      </c>
      <c r="U10" s="1459">
        <v>0</v>
      </c>
      <c r="V10" s="1459">
        <v>0</v>
      </c>
      <c r="W10" s="1459">
        <v>14259.4594594595</v>
      </c>
      <c r="X10" s="1459">
        <v>0</v>
      </c>
      <c r="Y10" s="1459">
        <v>0</v>
      </c>
      <c r="Z10" s="1459">
        <v>0</v>
      </c>
      <c r="AA10" s="1459">
        <v>0</v>
      </c>
      <c r="AB10" s="1459">
        <v>0</v>
      </c>
      <c r="AC10" s="1459">
        <v>0</v>
      </c>
      <c r="AD10" s="1459">
        <v>0</v>
      </c>
      <c r="AE10" s="1459">
        <v>0</v>
      </c>
      <c r="AF10" s="1459">
        <v>0</v>
      </c>
      <c r="AG10" s="1459">
        <v>0</v>
      </c>
      <c r="AH10" s="1459">
        <v>0</v>
      </c>
      <c r="AI10" s="1459">
        <v>0</v>
      </c>
      <c r="AJ10" s="1459">
        <v>0</v>
      </c>
      <c r="AK10" s="1459">
        <v>0</v>
      </c>
      <c r="AL10" s="1459">
        <v>0</v>
      </c>
      <c r="AM10" s="1459">
        <v>0</v>
      </c>
      <c r="AN10" s="1459">
        <v>0</v>
      </c>
      <c r="AO10" s="1459">
        <v>0</v>
      </c>
      <c r="AP10" s="1459">
        <v>0</v>
      </c>
      <c r="AQ10" s="1459">
        <v>0</v>
      </c>
      <c r="AR10" s="1459">
        <v>0</v>
      </c>
    </row>
    <row r="11" spans="1:44">
      <c r="A11" s="1460" t="s">
        <v>412</v>
      </c>
      <c r="B11" s="1461">
        <v>158974.903960703</v>
      </c>
      <c r="C11" s="1461">
        <v>0</v>
      </c>
      <c r="D11" s="1461">
        <v>0</v>
      </c>
      <c r="E11" s="1461">
        <v>0</v>
      </c>
      <c r="F11" s="1461">
        <v>0</v>
      </c>
      <c r="G11" s="1461">
        <v>0</v>
      </c>
      <c r="H11" s="1461">
        <v>0</v>
      </c>
      <c r="I11" s="1461">
        <v>0</v>
      </c>
      <c r="J11" s="1461">
        <v>0</v>
      </c>
      <c r="K11" s="1461">
        <v>0</v>
      </c>
      <c r="L11" s="1461">
        <v>0</v>
      </c>
      <c r="M11" s="1461">
        <v>0</v>
      </c>
      <c r="N11" s="1461">
        <v>0</v>
      </c>
      <c r="O11" s="1461">
        <v>0</v>
      </c>
      <c r="P11" s="1461">
        <v>17988.6489573363</v>
      </c>
      <c r="Q11" s="1461">
        <v>17988.6489573363</v>
      </c>
      <c r="R11" s="1461">
        <v>17988.6489573363</v>
      </c>
      <c r="S11" s="1461">
        <v>17988.6489573363</v>
      </c>
      <c r="T11" s="1461">
        <v>17988.6489573363</v>
      </c>
      <c r="U11" s="1461">
        <v>17988.6489573363</v>
      </c>
      <c r="V11" s="1461">
        <v>17988.6489573363</v>
      </c>
      <c r="W11" s="1461">
        <v>33054.3612593496</v>
      </c>
      <c r="X11" s="1461">
        <v>0</v>
      </c>
      <c r="Y11" s="1461">
        <v>0</v>
      </c>
      <c r="Z11" s="1461">
        <v>0</v>
      </c>
      <c r="AA11" s="1461">
        <v>0</v>
      </c>
      <c r="AB11" s="1461">
        <v>0</v>
      </c>
      <c r="AC11" s="1461">
        <v>0</v>
      </c>
      <c r="AD11" s="1461">
        <v>0</v>
      </c>
      <c r="AE11" s="1461">
        <v>0</v>
      </c>
      <c r="AF11" s="1461">
        <v>0</v>
      </c>
      <c r="AG11" s="1461">
        <v>0</v>
      </c>
      <c r="AH11" s="1461">
        <v>0</v>
      </c>
      <c r="AI11" s="1461">
        <v>0</v>
      </c>
      <c r="AJ11" s="1461">
        <v>0</v>
      </c>
      <c r="AK11" s="1461">
        <v>0</v>
      </c>
      <c r="AL11" s="1461">
        <v>0</v>
      </c>
      <c r="AM11" s="1461">
        <v>0</v>
      </c>
      <c r="AN11" s="1461">
        <v>0</v>
      </c>
      <c r="AO11" s="1461">
        <v>0</v>
      </c>
      <c r="AP11" s="1461">
        <v>0</v>
      </c>
      <c r="AQ11" s="1461">
        <v>0</v>
      </c>
      <c r="AR11" s="1461">
        <v>0</v>
      </c>
    </row>
    <row r="12" outlineLevel="1" spans="1:44">
      <c r="A12" s="1457" t="s">
        <v>50</v>
      </c>
      <c r="B12" s="1458">
        <v>71954.5958293451</v>
      </c>
      <c r="C12" s="1476">
        <v>0</v>
      </c>
      <c r="D12" s="1476">
        <v>0</v>
      </c>
      <c r="E12" s="1476">
        <v>0</v>
      </c>
      <c r="F12" s="1476">
        <v>0</v>
      </c>
      <c r="G12" s="1476">
        <v>0</v>
      </c>
      <c r="H12" s="1476">
        <v>0</v>
      </c>
      <c r="I12" s="1476">
        <v>0</v>
      </c>
      <c r="J12" s="1476">
        <v>0</v>
      </c>
      <c r="K12" s="1476">
        <v>0</v>
      </c>
      <c r="L12" s="1476">
        <v>0</v>
      </c>
      <c r="M12" s="1476">
        <v>0</v>
      </c>
      <c r="N12" s="1476">
        <v>0</v>
      </c>
      <c r="O12" s="1476">
        <v>0</v>
      </c>
      <c r="P12" s="1476">
        <v>17988.6489573363</v>
      </c>
      <c r="Q12" s="1476">
        <v>17988.6489573363</v>
      </c>
      <c r="R12" s="1476">
        <v>17988.6489573363</v>
      </c>
      <c r="S12" s="1476">
        <v>17988.6489573363</v>
      </c>
      <c r="T12" s="1476">
        <v>0</v>
      </c>
      <c r="U12" s="1476">
        <v>0</v>
      </c>
      <c r="V12" s="1476">
        <v>0</v>
      </c>
      <c r="W12" s="1476">
        <v>0</v>
      </c>
      <c r="X12" s="1476">
        <v>0</v>
      </c>
      <c r="Y12" s="1476">
        <v>0</v>
      </c>
      <c r="Z12" s="1476">
        <v>0</v>
      </c>
      <c r="AA12" s="1476">
        <v>0</v>
      </c>
      <c r="AB12" s="1476">
        <v>0</v>
      </c>
      <c r="AC12" s="1476">
        <v>0</v>
      </c>
      <c r="AD12" s="1476">
        <v>0</v>
      </c>
      <c r="AE12" s="1476">
        <v>0</v>
      </c>
      <c r="AF12" s="1476">
        <v>0</v>
      </c>
      <c r="AG12" s="1476">
        <v>0</v>
      </c>
      <c r="AH12" s="1476">
        <v>0</v>
      </c>
      <c r="AI12" s="1476">
        <v>0</v>
      </c>
      <c r="AJ12" s="1476">
        <v>0</v>
      </c>
      <c r="AK12" s="1476">
        <v>0</v>
      </c>
      <c r="AL12" s="1476">
        <v>0</v>
      </c>
      <c r="AM12" s="1476">
        <v>0</v>
      </c>
      <c r="AN12" s="1476">
        <v>0</v>
      </c>
      <c r="AO12" s="1476">
        <v>0</v>
      </c>
      <c r="AP12" s="1476">
        <v>0</v>
      </c>
      <c r="AQ12" s="1476">
        <v>0</v>
      </c>
      <c r="AR12" s="1476">
        <v>0</v>
      </c>
    </row>
    <row r="13" outlineLevel="1" spans="1:44">
      <c r="A13" s="1457" t="s">
        <v>52</v>
      </c>
      <c r="B13" s="1458">
        <v>74504.9846495991</v>
      </c>
      <c r="C13" s="1476">
        <v>0</v>
      </c>
      <c r="D13" s="1476">
        <v>0</v>
      </c>
      <c r="E13" s="1476">
        <v>0</v>
      </c>
      <c r="F13" s="1476">
        <v>0</v>
      </c>
      <c r="G13" s="1476">
        <v>0</v>
      </c>
      <c r="H13" s="1476">
        <v>0</v>
      </c>
      <c r="I13" s="1476">
        <v>0</v>
      </c>
      <c r="J13" s="1476">
        <v>0</v>
      </c>
      <c r="K13" s="1476">
        <v>0</v>
      </c>
      <c r="L13" s="1476">
        <v>0</v>
      </c>
      <c r="M13" s="1476">
        <v>0</v>
      </c>
      <c r="N13" s="1476">
        <v>0</v>
      </c>
      <c r="O13" s="1476">
        <v>0</v>
      </c>
      <c r="P13" s="1476">
        <v>0</v>
      </c>
      <c r="Q13" s="1476">
        <v>0</v>
      </c>
      <c r="R13" s="1476">
        <v>0</v>
      </c>
      <c r="S13" s="1476">
        <v>0</v>
      </c>
      <c r="T13" s="1476">
        <v>17988.6489573363</v>
      </c>
      <c r="U13" s="1476">
        <v>17988.6489573363</v>
      </c>
      <c r="V13" s="1476">
        <v>17988.6489573363</v>
      </c>
      <c r="W13" s="1476">
        <v>20539.0377775903</v>
      </c>
      <c r="X13" s="1476">
        <v>0</v>
      </c>
      <c r="Y13" s="1476">
        <v>0</v>
      </c>
      <c r="Z13" s="1476">
        <v>0</v>
      </c>
      <c r="AA13" s="1476">
        <v>0</v>
      </c>
      <c r="AB13" s="1476">
        <v>0</v>
      </c>
      <c r="AC13" s="1476">
        <v>0</v>
      </c>
      <c r="AD13" s="1476">
        <v>0</v>
      </c>
      <c r="AE13" s="1476">
        <v>0</v>
      </c>
      <c r="AF13" s="1476">
        <v>0</v>
      </c>
      <c r="AG13" s="1476">
        <v>0</v>
      </c>
      <c r="AH13" s="1476">
        <v>0</v>
      </c>
      <c r="AI13" s="1476">
        <v>0</v>
      </c>
      <c r="AJ13" s="1476">
        <v>0</v>
      </c>
      <c r="AK13" s="1476">
        <v>0</v>
      </c>
      <c r="AL13" s="1476">
        <v>0</v>
      </c>
      <c r="AM13" s="1476">
        <v>0</v>
      </c>
      <c r="AN13" s="1476">
        <v>0</v>
      </c>
      <c r="AO13" s="1476">
        <v>0</v>
      </c>
      <c r="AP13" s="1476">
        <v>0</v>
      </c>
      <c r="AQ13" s="1476">
        <v>0</v>
      </c>
      <c r="AR13" s="1476">
        <v>0</v>
      </c>
    </row>
    <row r="14" outlineLevel="1" spans="1:44">
      <c r="A14" s="1457" t="s">
        <v>53</v>
      </c>
      <c r="B14" s="1458">
        <v>12515.3234817594</v>
      </c>
      <c r="C14" s="1476">
        <v>0</v>
      </c>
      <c r="D14" s="1476">
        <v>0</v>
      </c>
      <c r="E14" s="1476">
        <v>0</v>
      </c>
      <c r="F14" s="1476">
        <v>0</v>
      </c>
      <c r="G14" s="1476">
        <v>0</v>
      </c>
      <c r="H14" s="1476">
        <v>0</v>
      </c>
      <c r="I14" s="1476">
        <v>0</v>
      </c>
      <c r="J14" s="1476">
        <v>0</v>
      </c>
      <c r="K14" s="1476">
        <v>0</v>
      </c>
      <c r="L14" s="1476">
        <v>0</v>
      </c>
      <c r="M14" s="1476">
        <v>0</v>
      </c>
      <c r="N14" s="1476">
        <v>0</v>
      </c>
      <c r="O14" s="1476">
        <v>0</v>
      </c>
      <c r="P14" s="1476">
        <v>0</v>
      </c>
      <c r="Q14" s="1476">
        <v>0</v>
      </c>
      <c r="R14" s="1476">
        <v>0</v>
      </c>
      <c r="S14" s="1476">
        <v>0</v>
      </c>
      <c r="T14" s="1476">
        <v>0</v>
      </c>
      <c r="U14" s="1476">
        <v>0</v>
      </c>
      <c r="V14" s="1476">
        <v>0</v>
      </c>
      <c r="W14" s="1476">
        <v>12515.3234817594</v>
      </c>
      <c r="X14" s="1476">
        <v>0</v>
      </c>
      <c r="Y14" s="1476">
        <v>0</v>
      </c>
      <c r="Z14" s="1476">
        <v>0</v>
      </c>
      <c r="AA14" s="1476">
        <v>0</v>
      </c>
      <c r="AB14" s="1476">
        <v>0</v>
      </c>
      <c r="AC14" s="1476">
        <v>0</v>
      </c>
      <c r="AD14" s="1476">
        <v>0</v>
      </c>
      <c r="AE14" s="1476">
        <v>0</v>
      </c>
      <c r="AF14" s="1476">
        <v>0</v>
      </c>
      <c r="AG14" s="1476">
        <v>0</v>
      </c>
      <c r="AH14" s="1476">
        <v>0</v>
      </c>
      <c r="AI14" s="1476">
        <v>0</v>
      </c>
      <c r="AJ14" s="1476">
        <v>0</v>
      </c>
      <c r="AK14" s="1476">
        <v>0</v>
      </c>
      <c r="AL14" s="1476">
        <v>0</v>
      </c>
      <c r="AM14" s="1476">
        <v>0</v>
      </c>
      <c r="AN14" s="1476">
        <v>0</v>
      </c>
      <c r="AO14" s="1476">
        <v>0</v>
      </c>
      <c r="AP14" s="1476">
        <v>0</v>
      </c>
      <c r="AQ14" s="1476">
        <v>0</v>
      </c>
      <c r="AR14" s="1476">
        <v>0</v>
      </c>
    </row>
    <row r="15" spans="1:44">
      <c r="A15" s="1460" t="s">
        <v>403</v>
      </c>
      <c r="B15" s="1461">
        <v>11367.8345105295</v>
      </c>
      <c r="C15" s="1461">
        <v>0</v>
      </c>
      <c r="D15" s="1461">
        <v>0</v>
      </c>
      <c r="E15" s="1461">
        <v>0</v>
      </c>
      <c r="F15" s="1461">
        <v>0</v>
      </c>
      <c r="G15" s="1461">
        <v>0</v>
      </c>
      <c r="H15" s="1461">
        <v>0</v>
      </c>
      <c r="I15" s="1461">
        <v>0</v>
      </c>
      <c r="J15" s="1461">
        <v>0</v>
      </c>
      <c r="K15" s="1461">
        <v>0</v>
      </c>
      <c r="L15" s="1461">
        <v>0</v>
      </c>
      <c r="M15" s="1461">
        <v>0</v>
      </c>
      <c r="N15" s="1461">
        <v>0</v>
      </c>
      <c r="O15" s="1461">
        <v>0</v>
      </c>
      <c r="P15" s="1461">
        <v>1290.96035396342</v>
      </c>
      <c r="Q15" s="1461">
        <v>1290.96035396342</v>
      </c>
      <c r="R15" s="1461">
        <v>1290.96035396342</v>
      </c>
      <c r="S15" s="1461">
        <v>1290.96035396342</v>
      </c>
      <c r="T15" s="1461">
        <v>1390.42235013539</v>
      </c>
      <c r="U15" s="1461">
        <v>1390.42235013539</v>
      </c>
      <c r="V15" s="1461">
        <v>1390.42235013539</v>
      </c>
      <c r="W15" s="1461">
        <v>2032.72604426964</v>
      </c>
      <c r="X15" s="1461">
        <v>0</v>
      </c>
      <c r="Y15" s="1461">
        <v>0</v>
      </c>
      <c r="Z15" s="1461">
        <v>0</v>
      </c>
      <c r="AA15" s="1461">
        <v>0</v>
      </c>
      <c r="AB15" s="1461">
        <v>0</v>
      </c>
      <c r="AC15" s="1461">
        <v>0</v>
      </c>
      <c r="AD15" s="1461">
        <v>0</v>
      </c>
      <c r="AE15" s="1461">
        <v>0</v>
      </c>
      <c r="AF15" s="1461">
        <v>0</v>
      </c>
      <c r="AG15" s="1461">
        <v>0</v>
      </c>
      <c r="AH15" s="1461">
        <v>0</v>
      </c>
      <c r="AI15" s="1461">
        <v>0</v>
      </c>
      <c r="AJ15" s="1461">
        <v>0</v>
      </c>
      <c r="AK15" s="1461">
        <v>0</v>
      </c>
      <c r="AL15" s="1461">
        <v>0</v>
      </c>
      <c r="AM15" s="1461">
        <v>0</v>
      </c>
      <c r="AN15" s="1461">
        <v>0</v>
      </c>
      <c r="AO15" s="1461">
        <v>0</v>
      </c>
      <c r="AP15" s="1461">
        <v>0</v>
      </c>
      <c r="AQ15" s="1461">
        <v>0</v>
      </c>
      <c r="AR15" s="1461">
        <v>0</v>
      </c>
    </row>
    <row r="16" outlineLevel="1" spans="1:44">
      <c r="A16" s="1457" t="s">
        <v>50</v>
      </c>
      <c r="B16" s="1458">
        <v>5163.84141585367</v>
      </c>
      <c r="C16" s="1459">
        <v>0</v>
      </c>
      <c r="D16" s="1459">
        <v>0</v>
      </c>
      <c r="E16" s="1459">
        <v>0</v>
      </c>
      <c r="F16" s="1459">
        <v>0</v>
      </c>
      <c r="G16" s="1459">
        <v>0</v>
      </c>
      <c r="H16" s="1459">
        <v>0</v>
      </c>
      <c r="I16" s="1459">
        <v>0</v>
      </c>
      <c r="J16" s="1459">
        <v>0</v>
      </c>
      <c r="K16" s="1459">
        <v>0</v>
      </c>
      <c r="L16" s="1459">
        <v>0</v>
      </c>
      <c r="M16" s="1459">
        <v>0</v>
      </c>
      <c r="N16" s="1459">
        <v>0</v>
      </c>
      <c r="O16" s="1459">
        <v>0</v>
      </c>
      <c r="P16" s="1459">
        <v>1290.96035396342</v>
      </c>
      <c r="Q16" s="1459">
        <v>1290.96035396342</v>
      </c>
      <c r="R16" s="1459">
        <v>1290.96035396342</v>
      </c>
      <c r="S16" s="1459">
        <v>1290.96035396342</v>
      </c>
      <c r="T16" s="1459">
        <v>0</v>
      </c>
      <c r="U16" s="1459">
        <v>0</v>
      </c>
      <c r="V16" s="1459">
        <v>0</v>
      </c>
      <c r="W16" s="1459">
        <v>0</v>
      </c>
      <c r="X16" s="1459">
        <v>0</v>
      </c>
      <c r="Y16" s="1459">
        <v>0</v>
      </c>
      <c r="Z16" s="1459">
        <v>0</v>
      </c>
      <c r="AA16" s="1459">
        <v>0</v>
      </c>
      <c r="AB16" s="1459">
        <v>0</v>
      </c>
      <c r="AC16" s="1459">
        <v>0</v>
      </c>
      <c r="AD16" s="1459">
        <v>0</v>
      </c>
      <c r="AE16" s="1459">
        <v>0</v>
      </c>
      <c r="AF16" s="1459">
        <v>0</v>
      </c>
      <c r="AG16" s="1459">
        <v>0</v>
      </c>
      <c r="AH16" s="1459">
        <v>0</v>
      </c>
      <c r="AI16" s="1459">
        <v>0</v>
      </c>
      <c r="AJ16" s="1459">
        <v>0</v>
      </c>
      <c r="AK16" s="1459">
        <v>0</v>
      </c>
      <c r="AL16" s="1459">
        <v>0</v>
      </c>
      <c r="AM16" s="1459">
        <v>0</v>
      </c>
      <c r="AN16" s="1459">
        <v>0</v>
      </c>
      <c r="AO16" s="1459">
        <v>0</v>
      </c>
      <c r="AP16" s="1459">
        <v>0</v>
      </c>
      <c r="AQ16" s="1459">
        <v>0</v>
      </c>
      <c r="AR16" s="1459">
        <v>0</v>
      </c>
    </row>
    <row r="17" outlineLevel="1" spans="1:44">
      <c r="A17" s="1457" t="s">
        <v>52</v>
      </c>
      <c r="B17" s="1458">
        <v>5845.91244105063</v>
      </c>
      <c r="C17" s="1459">
        <v>0</v>
      </c>
      <c r="D17" s="1459">
        <v>0</v>
      </c>
      <c r="E17" s="1459">
        <v>0</v>
      </c>
      <c r="F17" s="1459">
        <v>0</v>
      </c>
      <c r="G17" s="1459">
        <v>0</v>
      </c>
      <c r="H17" s="1459">
        <v>0</v>
      </c>
      <c r="I17" s="1459">
        <v>0</v>
      </c>
      <c r="J17" s="1459">
        <v>0</v>
      </c>
      <c r="K17" s="1459">
        <v>0</v>
      </c>
      <c r="L17" s="1459">
        <v>0</v>
      </c>
      <c r="M17" s="1459">
        <v>0</v>
      </c>
      <c r="N17" s="1459">
        <v>0</v>
      </c>
      <c r="O17" s="1459">
        <v>0</v>
      </c>
      <c r="P17" s="1459">
        <v>0</v>
      </c>
      <c r="Q17" s="1459">
        <v>0</v>
      </c>
      <c r="R17" s="1459">
        <v>0</v>
      </c>
      <c r="S17" s="1459">
        <v>0</v>
      </c>
      <c r="T17" s="1459">
        <v>1390.42235013539</v>
      </c>
      <c r="U17" s="1459">
        <v>1390.42235013539</v>
      </c>
      <c r="V17" s="1459">
        <v>1390.42235013539</v>
      </c>
      <c r="W17" s="1459">
        <v>1674.64539064445</v>
      </c>
      <c r="X17" s="1459">
        <v>0</v>
      </c>
      <c r="Y17" s="1459">
        <v>0</v>
      </c>
      <c r="Z17" s="1459">
        <v>0</v>
      </c>
      <c r="AA17" s="1459">
        <v>0</v>
      </c>
      <c r="AB17" s="1459">
        <v>0</v>
      </c>
      <c r="AC17" s="1459">
        <v>0</v>
      </c>
      <c r="AD17" s="1459">
        <v>0</v>
      </c>
      <c r="AE17" s="1459">
        <v>0</v>
      </c>
      <c r="AF17" s="1459">
        <v>0</v>
      </c>
      <c r="AG17" s="1459">
        <v>0</v>
      </c>
      <c r="AH17" s="1459">
        <v>0</v>
      </c>
      <c r="AI17" s="1459">
        <v>0</v>
      </c>
      <c r="AJ17" s="1459">
        <v>0</v>
      </c>
      <c r="AK17" s="1459">
        <v>0</v>
      </c>
      <c r="AL17" s="1459">
        <v>0</v>
      </c>
      <c r="AM17" s="1459">
        <v>0</v>
      </c>
      <c r="AN17" s="1459">
        <v>0</v>
      </c>
      <c r="AO17" s="1459">
        <v>0</v>
      </c>
      <c r="AP17" s="1459">
        <v>0</v>
      </c>
      <c r="AQ17" s="1459">
        <v>0</v>
      </c>
      <c r="AR17" s="1459">
        <v>0</v>
      </c>
    </row>
    <row r="18" outlineLevel="1" spans="1:44">
      <c r="A18" s="1457" t="s">
        <v>53</v>
      </c>
      <c r="B18" s="1458">
        <v>358.080653625189</v>
      </c>
      <c r="C18" s="1459">
        <v>0</v>
      </c>
      <c r="D18" s="1459">
        <v>0</v>
      </c>
      <c r="E18" s="1459">
        <v>0</v>
      </c>
      <c r="F18" s="1459">
        <v>0</v>
      </c>
      <c r="G18" s="1459">
        <v>0</v>
      </c>
      <c r="H18" s="1459">
        <v>0</v>
      </c>
      <c r="I18" s="1459">
        <v>0</v>
      </c>
      <c r="J18" s="1459">
        <v>0</v>
      </c>
      <c r="K18" s="1459">
        <v>0</v>
      </c>
      <c r="L18" s="1459">
        <v>0</v>
      </c>
      <c r="M18" s="1459">
        <v>0</v>
      </c>
      <c r="N18" s="1459">
        <v>0</v>
      </c>
      <c r="O18" s="1459">
        <v>0</v>
      </c>
      <c r="P18" s="1459">
        <v>0</v>
      </c>
      <c r="Q18" s="1459">
        <v>0</v>
      </c>
      <c r="R18" s="1459">
        <v>0</v>
      </c>
      <c r="S18" s="1459">
        <v>0</v>
      </c>
      <c r="T18" s="1459">
        <v>0</v>
      </c>
      <c r="U18" s="1459">
        <v>0</v>
      </c>
      <c r="V18" s="1459">
        <v>0</v>
      </c>
      <c r="W18" s="1459">
        <v>358.080653625189</v>
      </c>
      <c r="X18" s="1459">
        <v>0</v>
      </c>
      <c r="Y18" s="1459">
        <v>0</v>
      </c>
      <c r="Z18" s="1459">
        <v>0</v>
      </c>
      <c r="AA18" s="1459">
        <v>0</v>
      </c>
      <c r="AB18" s="1459">
        <v>0</v>
      </c>
      <c r="AC18" s="1459">
        <v>0</v>
      </c>
      <c r="AD18" s="1459">
        <v>0</v>
      </c>
      <c r="AE18" s="1459">
        <v>0</v>
      </c>
      <c r="AF18" s="1459">
        <v>0</v>
      </c>
      <c r="AG18" s="1459">
        <v>0</v>
      </c>
      <c r="AH18" s="1459">
        <v>0</v>
      </c>
      <c r="AI18" s="1459">
        <v>0</v>
      </c>
      <c r="AJ18" s="1459">
        <v>0</v>
      </c>
      <c r="AK18" s="1459">
        <v>0</v>
      </c>
      <c r="AL18" s="1459">
        <v>0</v>
      </c>
      <c r="AM18" s="1459">
        <v>0</v>
      </c>
      <c r="AN18" s="1459">
        <v>0</v>
      </c>
      <c r="AO18" s="1459">
        <v>0</v>
      </c>
      <c r="AP18" s="1459">
        <v>0</v>
      </c>
      <c r="AQ18" s="1459">
        <v>0</v>
      </c>
      <c r="AR18" s="1459">
        <v>0</v>
      </c>
    </row>
    <row r="19" spans="1:44">
      <c r="A19" s="1460" t="s">
        <v>236</v>
      </c>
      <c r="B19" s="1463">
        <v>60868.5646769527</v>
      </c>
      <c r="C19" s="1463">
        <v>0</v>
      </c>
      <c r="D19" s="1463">
        <v>0</v>
      </c>
      <c r="E19" s="1463">
        <v>0</v>
      </c>
      <c r="F19" s="1463">
        <v>0</v>
      </c>
      <c r="G19" s="1463">
        <v>0</v>
      </c>
      <c r="H19" s="1463">
        <v>0</v>
      </c>
      <c r="I19" s="1463">
        <v>0</v>
      </c>
      <c r="J19" s="1463">
        <v>0</v>
      </c>
      <c r="K19" s="1463">
        <v>0</v>
      </c>
      <c r="L19" s="1463">
        <v>0</v>
      </c>
      <c r="M19" s="1463">
        <v>0</v>
      </c>
      <c r="N19" s="1463">
        <v>0</v>
      </c>
      <c r="O19" s="1463">
        <v>0</v>
      </c>
      <c r="P19" s="1463">
        <v>7163.69547411543</v>
      </c>
      <c r="Q19" s="1463">
        <v>7163.69547411543</v>
      </c>
      <c r="R19" s="1463">
        <v>7163.69547411543</v>
      </c>
      <c r="S19" s="1463">
        <v>7163.69547411543</v>
      </c>
      <c r="T19" s="1463">
        <v>7064.23347794345</v>
      </c>
      <c r="U19" s="1463">
        <v>7064.23347794345</v>
      </c>
      <c r="V19" s="1463">
        <v>7064.23347794345</v>
      </c>
      <c r="W19" s="1463">
        <v>11021.0823466607</v>
      </c>
      <c r="X19" s="1463">
        <v>0</v>
      </c>
      <c r="Y19" s="1463">
        <v>0</v>
      </c>
      <c r="Z19" s="1463">
        <v>0</v>
      </c>
      <c r="AA19" s="1463">
        <v>0</v>
      </c>
      <c r="AB19" s="1463">
        <v>0</v>
      </c>
      <c r="AC19" s="1463">
        <v>0</v>
      </c>
      <c r="AD19" s="1463">
        <v>0</v>
      </c>
      <c r="AE19" s="1463">
        <v>0</v>
      </c>
      <c r="AF19" s="1463">
        <v>0</v>
      </c>
      <c r="AG19" s="1463">
        <v>0</v>
      </c>
      <c r="AH19" s="1463">
        <v>0</v>
      </c>
      <c r="AI19" s="1463">
        <v>0</v>
      </c>
      <c r="AJ19" s="1463">
        <v>0</v>
      </c>
      <c r="AK19" s="1463">
        <v>0</v>
      </c>
      <c r="AL19" s="1463">
        <v>0</v>
      </c>
      <c r="AM19" s="1463">
        <v>0</v>
      </c>
      <c r="AN19" s="1463">
        <v>0</v>
      </c>
      <c r="AO19" s="1463">
        <v>0</v>
      </c>
      <c r="AP19" s="1463">
        <v>0</v>
      </c>
      <c r="AQ19" s="1463">
        <v>0</v>
      </c>
      <c r="AR19" s="1463">
        <v>0</v>
      </c>
    </row>
    <row r="20" outlineLevel="1" spans="1:44">
      <c r="A20" s="1457" t="s">
        <v>50</v>
      </c>
      <c r="B20" s="1458">
        <v>28654.7818964617</v>
      </c>
      <c r="C20" s="1464">
        <v>0</v>
      </c>
      <c r="D20" s="1464">
        <v>0</v>
      </c>
      <c r="E20" s="1464">
        <v>0</v>
      </c>
      <c r="F20" s="1464">
        <v>0</v>
      </c>
      <c r="G20" s="1464">
        <v>0</v>
      </c>
      <c r="H20" s="1464">
        <v>0</v>
      </c>
      <c r="I20" s="1464">
        <v>0</v>
      </c>
      <c r="J20" s="1464">
        <v>0</v>
      </c>
      <c r="K20" s="1464">
        <v>0</v>
      </c>
      <c r="L20" s="1464">
        <v>0</v>
      </c>
      <c r="M20" s="1464">
        <v>0</v>
      </c>
      <c r="N20" s="1464">
        <v>0</v>
      </c>
      <c r="O20" s="1464">
        <v>0</v>
      </c>
      <c r="P20" s="1464">
        <v>7163.69547411543</v>
      </c>
      <c r="Q20" s="1464">
        <v>7163.69547411543</v>
      </c>
      <c r="R20" s="1464">
        <v>7163.69547411543</v>
      </c>
      <c r="S20" s="1464">
        <v>7163.69547411543</v>
      </c>
      <c r="T20" s="1464">
        <v>0</v>
      </c>
      <c r="U20" s="1464">
        <v>0</v>
      </c>
      <c r="V20" s="1464">
        <v>0</v>
      </c>
      <c r="W20" s="1464">
        <v>0</v>
      </c>
      <c r="X20" s="1464">
        <v>0</v>
      </c>
      <c r="Y20" s="1464">
        <v>0</v>
      </c>
      <c r="Z20" s="1464">
        <v>0</v>
      </c>
      <c r="AA20" s="1464">
        <v>0</v>
      </c>
      <c r="AB20" s="1464">
        <v>0</v>
      </c>
      <c r="AC20" s="1464">
        <v>0</v>
      </c>
      <c r="AD20" s="1464">
        <v>0</v>
      </c>
      <c r="AE20" s="1464">
        <v>0</v>
      </c>
      <c r="AF20" s="1464">
        <v>0</v>
      </c>
      <c r="AG20" s="1464">
        <v>0</v>
      </c>
      <c r="AH20" s="1464">
        <v>0</v>
      </c>
      <c r="AI20" s="1464">
        <v>0</v>
      </c>
      <c r="AJ20" s="1464">
        <v>0</v>
      </c>
      <c r="AK20" s="1464">
        <v>0</v>
      </c>
      <c r="AL20" s="1464">
        <v>0</v>
      </c>
      <c r="AM20" s="1464">
        <v>0</v>
      </c>
      <c r="AN20" s="1464">
        <v>0</v>
      </c>
      <c r="AO20" s="1464">
        <v>0</v>
      </c>
      <c r="AP20" s="1464">
        <v>0</v>
      </c>
      <c r="AQ20" s="1464">
        <v>0</v>
      </c>
      <c r="AR20" s="1464">
        <v>0</v>
      </c>
    </row>
    <row r="21" outlineLevel="1" spans="1:44">
      <c r="A21" s="1457" t="s">
        <v>52</v>
      </c>
      <c r="B21" s="1458">
        <v>30827.7274564161</v>
      </c>
      <c r="C21" s="1464">
        <v>0</v>
      </c>
      <c r="D21" s="1464">
        <v>0</v>
      </c>
      <c r="E21" s="1464">
        <v>0</v>
      </c>
      <c r="F21" s="1464">
        <v>0</v>
      </c>
      <c r="G21" s="1464">
        <v>0</v>
      </c>
      <c r="H21" s="1464">
        <v>0</v>
      </c>
      <c r="I21" s="1464">
        <v>0</v>
      </c>
      <c r="J21" s="1464">
        <v>0</v>
      </c>
      <c r="K21" s="1464">
        <v>0</v>
      </c>
      <c r="L21" s="1464">
        <v>0</v>
      </c>
      <c r="M21" s="1464">
        <v>0</v>
      </c>
      <c r="N21" s="1464">
        <v>0</v>
      </c>
      <c r="O21" s="1464">
        <v>0</v>
      </c>
      <c r="P21" s="1464">
        <v>0</v>
      </c>
      <c r="Q21" s="1464">
        <v>0</v>
      </c>
      <c r="R21" s="1464">
        <v>0</v>
      </c>
      <c r="S21" s="1464">
        <v>0</v>
      </c>
      <c r="T21" s="1464">
        <v>7064.23347794345</v>
      </c>
      <c r="U21" s="1464">
        <v>7064.23347794345</v>
      </c>
      <c r="V21" s="1464">
        <v>7064.23347794345</v>
      </c>
      <c r="W21" s="1464">
        <v>9635.02702258579</v>
      </c>
      <c r="X21" s="1464">
        <v>0</v>
      </c>
      <c r="Y21" s="1464">
        <v>0</v>
      </c>
      <c r="Z21" s="1464">
        <v>0</v>
      </c>
      <c r="AA21" s="1464">
        <v>0</v>
      </c>
      <c r="AB21" s="1464">
        <v>0</v>
      </c>
      <c r="AC21" s="1464">
        <v>0</v>
      </c>
      <c r="AD21" s="1464">
        <v>0</v>
      </c>
      <c r="AE21" s="1464">
        <v>0</v>
      </c>
      <c r="AF21" s="1464">
        <v>0</v>
      </c>
      <c r="AG21" s="1464">
        <v>0</v>
      </c>
      <c r="AH21" s="1464">
        <v>0</v>
      </c>
      <c r="AI21" s="1464">
        <v>0</v>
      </c>
      <c r="AJ21" s="1464">
        <v>0</v>
      </c>
      <c r="AK21" s="1464">
        <v>0</v>
      </c>
      <c r="AL21" s="1464">
        <v>0</v>
      </c>
      <c r="AM21" s="1464">
        <v>0</v>
      </c>
      <c r="AN21" s="1464">
        <v>0</v>
      </c>
      <c r="AO21" s="1464">
        <v>0</v>
      </c>
      <c r="AP21" s="1464">
        <v>0</v>
      </c>
      <c r="AQ21" s="1464">
        <v>0</v>
      </c>
      <c r="AR21" s="1464">
        <v>0</v>
      </c>
    </row>
    <row r="22" outlineLevel="1" spans="1:44">
      <c r="A22" s="1457" t="s">
        <v>53</v>
      </c>
      <c r="B22" s="1458">
        <v>1386.0553240749</v>
      </c>
      <c r="C22" s="1464">
        <v>0</v>
      </c>
      <c r="D22" s="1464">
        <v>0</v>
      </c>
      <c r="E22" s="1464">
        <v>0</v>
      </c>
      <c r="F22" s="1464">
        <v>0</v>
      </c>
      <c r="G22" s="1464">
        <v>0</v>
      </c>
      <c r="H22" s="1464">
        <v>0</v>
      </c>
      <c r="I22" s="1464">
        <v>0</v>
      </c>
      <c r="J22" s="1464">
        <v>0</v>
      </c>
      <c r="K22" s="1464">
        <v>0</v>
      </c>
      <c r="L22" s="1464">
        <v>0</v>
      </c>
      <c r="M22" s="1464">
        <v>0</v>
      </c>
      <c r="N22" s="1464">
        <v>0</v>
      </c>
      <c r="O22" s="1464">
        <v>0</v>
      </c>
      <c r="P22" s="1464">
        <v>0</v>
      </c>
      <c r="Q22" s="1464">
        <v>0</v>
      </c>
      <c r="R22" s="1464">
        <v>0</v>
      </c>
      <c r="S22" s="1464">
        <v>0</v>
      </c>
      <c r="T22" s="1464">
        <v>0</v>
      </c>
      <c r="U22" s="1464">
        <v>0</v>
      </c>
      <c r="V22" s="1464">
        <v>0</v>
      </c>
      <c r="W22" s="1464">
        <v>1386.0553240749</v>
      </c>
      <c r="X22" s="1464">
        <v>0</v>
      </c>
      <c r="Y22" s="1464">
        <v>0</v>
      </c>
      <c r="Z22" s="1464">
        <v>0</v>
      </c>
      <c r="AA22" s="1464">
        <v>0</v>
      </c>
      <c r="AB22" s="1464">
        <v>0</v>
      </c>
      <c r="AC22" s="1464">
        <v>0</v>
      </c>
      <c r="AD22" s="1464">
        <v>0</v>
      </c>
      <c r="AE22" s="1464">
        <v>0</v>
      </c>
      <c r="AF22" s="1464">
        <v>0</v>
      </c>
      <c r="AG22" s="1464">
        <v>0</v>
      </c>
      <c r="AH22" s="1464">
        <v>0</v>
      </c>
      <c r="AI22" s="1464">
        <v>0</v>
      </c>
      <c r="AJ22" s="1464">
        <v>0</v>
      </c>
      <c r="AK22" s="1464">
        <v>0</v>
      </c>
      <c r="AL22" s="1464">
        <v>0</v>
      </c>
      <c r="AM22" s="1464">
        <v>0</v>
      </c>
      <c r="AN22" s="1464">
        <v>0</v>
      </c>
      <c r="AO22" s="1464">
        <v>0</v>
      </c>
      <c r="AP22" s="1464">
        <v>0</v>
      </c>
      <c r="AQ22" s="1464">
        <v>0</v>
      </c>
      <c r="AR22" s="1464">
        <v>0</v>
      </c>
    </row>
    <row r="23" spans="1:44">
      <c r="A23" s="1460" t="s">
        <v>413</v>
      </c>
      <c r="B23" s="1463">
        <v>0</v>
      </c>
      <c r="C23" s="1463">
        <v>0</v>
      </c>
      <c r="D23" s="1463">
        <v>0</v>
      </c>
      <c r="E23" s="1463">
        <v>0</v>
      </c>
      <c r="F23" s="1463">
        <v>0</v>
      </c>
      <c r="G23" s="1463">
        <v>0</v>
      </c>
      <c r="H23" s="1463">
        <v>0</v>
      </c>
      <c r="I23" s="1463">
        <v>0</v>
      </c>
      <c r="J23" s="1463">
        <v>0</v>
      </c>
      <c r="K23" s="1463">
        <v>0</v>
      </c>
      <c r="L23" s="1463">
        <v>0</v>
      </c>
      <c r="M23" s="1463">
        <v>0</v>
      </c>
      <c r="N23" s="1463">
        <v>0</v>
      </c>
      <c r="O23" s="1463">
        <v>0</v>
      </c>
      <c r="P23" s="1463">
        <v>0</v>
      </c>
      <c r="Q23" s="1463">
        <v>0</v>
      </c>
      <c r="R23" s="1463">
        <v>0</v>
      </c>
      <c r="S23" s="1463">
        <v>0</v>
      </c>
      <c r="T23" s="1463">
        <v>0</v>
      </c>
      <c r="U23" s="1463">
        <v>0</v>
      </c>
      <c r="V23" s="1463">
        <v>0</v>
      </c>
      <c r="W23" s="1463">
        <v>0</v>
      </c>
      <c r="X23" s="1463">
        <v>0</v>
      </c>
      <c r="Y23" s="1463">
        <v>0</v>
      </c>
      <c r="Z23" s="1463">
        <v>0</v>
      </c>
      <c r="AA23" s="1463">
        <v>0</v>
      </c>
      <c r="AB23" s="1463">
        <v>0</v>
      </c>
      <c r="AC23" s="1463">
        <v>0</v>
      </c>
      <c r="AD23" s="1463">
        <v>0</v>
      </c>
      <c r="AE23" s="1463">
        <v>0</v>
      </c>
      <c r="AF23" s="1463">
        <v>0</v>
      </c>
      <c r="AG23" s="1463">
        <v>0</v>
      </c>
      <c r="AH23" s="1463">
        <v>0</v>
      </c>
      <c r="AI23" s="1463">
        <v>0</v>
      </c>
      <c r="AJ23" s="1463">
        <v>0</v>
      </c>
      <c r="AK23" s="1463">
        <v>0</v>
      </c>
      <c r="AL23" s="1463">
        <v>0</v>
      </c>
      <c r="AM23" s="1463">
        <v>0</v>
      </c>
      <c r="AN23" s="1463">
        <v>0</v>
      </c>
      <c r="AO23" s="1463">
        <v>0</v>
      </c>
      <c r="AP23" s="1463">
        <v>0</v>
      </c>
      <c r="AQ23" s="1463">
        <v>0</v>
      </c>
      <c r="AR23" s="1463">
        <v>0</v>
      </c>
    </row>
    <row r="24" spans="1:44">
      <c r="A24" s="1460" t="s">
        <v>11</v>
      </c>
      <c r="B24" s="1463">
        <v>15429.2799172248</v>
      </c>
      <c r="C24" s="1463">
        <v>0</v>
      </c>
      <c r="D24" s="1463">
        <v>0</v>
      </c>
      <c r="E24" s="1463">
        <v>0</v>
      </c>
      <c r="F24" s="1463">
        <v>0</v>
      </c>
      <c r="G24" s="1463">
        <v>0</v>
      </c>
      <c r="H24" s="1463">
        <v>0</v>
      </c>
      <c r="I24" s="1463">
        <v>0</v>
      </c>
      <c r="J24" s="1463">
        <v>0</v>
      </c>
      <c r="K24" s="1463">
        <v>0</v>
      </c>
      <c r="L24" s="1463">
        <v>0</v>
      </c>
      <c r="M24" s="1463">
        <v>0</v>
      </c>
      <c r="N24" s="1463">
        <v>0</v>
      </c>
      <c r="O24" s="1463">
        <v>0</v>
      </c>
      <c r="P24" s="1463">
        <v>1764.62459194379</v>
      </c>
      <c r="Q24" s="1463">
        <v>1764.62459194379</v>
      </c>
      <c r="R24" s="1463">
        <v>1764.62459194379</v>
      </c>
      <c r="S24" s="1463">
        <v>1764.62459194379</v>
      </c>
      <c r="T24" s="1463">
        <v>1764.62459194379</v>
      </c>
      <c r="U24" s="1463">
        <v>1764.62459194379</v>
      </c>
      <c r="V24" s="1463">
        <v>1764.62459194379</v>
      </c>
      <c r="W24" s="1463">
        <v>3076.90777361825</v>
      </c>
      <c r="X24" s="1463">
        <v>0</v>
      </c>
      <c r="Y24" s="1463">
        <v>0</v>
      </c>
      <c r="Z24" s="1463">
        <v>0</v>
      </c>
      <c r="AA24" s="1463">
        <v>0</v>
      </c>
      <c r="AB24" s="1463">
        <v>0</v>
      </c>
      <c r="AC24" s="1463">
        <v>0</v>
      </c>
      <c r="AD24" s="1463">
        <v>0</v>
      </c>
      <c r="AE24" s="1463">
        <v>0</v>
      </c>
      <c r="AF24" s="1463">
        <v>0</v>
      </c>
      <c r="AG24" s="1463">
        <v>0</v>
      </c>
      <c r="AH24" s="1463">
        <v>0</v>
      </c>
      <c r="AI24" s="1463">
        <v>0</v>
      </c>
      <c r="AJ24" s="1463">
        <v>0</v>
      </c>
      <c r="AK24" s="1463">
        <v>0</v>
      </c>
      <c r="AL24" s="1463">
        <v>0</v>
      </c>
      <c r="AM24" s="1463">
        <v>0</v>
      </c>
      <c r="AN24" s="1463">
        <v>0</v>
      </c>
      <c r="AO24" s="1463">
        <v>0</v>
      </c>
      <c r="AP24" s="1463">
        <v>0</v>
      </c>
      <c r="AQ24" s="1463">
        <v>0</v>
      </c>
      <c r="AR24" s="1463">
        <v>0</v>
      </c>
    </row>
    <row r="25" outlineLevel="1" spans="1:44">
      <c r="A25" s="1457" t="s">
        <v>414</v>
      </c>
      <c r="B25" s="1458">
        <v>10111.4199448165</v>
      </c>
      <c r="C25" s="1464">
        <v>0</v>
      </c>
      <c r="D25" s="1464">
        <v>0</v>
      </c>
      <c r="E25" s="1464">
        <v>0</v>
      </c>
      <c r="F25" s="1464">
        <v>0</v>
      </c>
      <c r="G25" s="1464">
        <v>0</v>
      </c>
      <c r="H25" s="1477">
        <v>0</v>
      </c>
      <c r="I25" s="1464">
        <v>0</v>
      </c>
      <c r="J25" s="1464">
        <v>0</v>
      </c>
      <c r="K25" s="1464">
        <v>0</v>
      </c>
      <c r="L25" s="1464">
        <v>0</v>
      </c>
      <c r="M25" s="1464">
        <v>0</v>
      </c>
      <c r="N25" s="1464">
        <v>0</v>
      </c>
      <c r="O25" s="1464">
        <v>0</v>
      </c>
      <c r="P25" s="1464">
        <v>1156.42858187925</v>
      </c>
      <c r="Q25" s="1464">
        <v>1156.42858187925</v>
      </c>
      <c r="R25" s="1464">
        <v>1156.42858187925</v>
      </c>
      <c r="S25" s="1464">
        <v>1156.42858187925</v>
      </c>
      <c r="T25" s="1464">
        <v>1156.42858187925</v>
      </c>
      <c r="U25" s="1464">
        <v>1156.42858187925</v>
      </c>
      <c r="V25" s="1464">
        <v>1156.42858187925</v>
      </c>
      <c r="W25" s="1464">
        <v>2016.41987166182</v>
      </c>
      <c r="X25" s="1464">
        <v>0</v>
      </c>
      <c r="Y25" s="1464">
        <v>0</v>
      </c>
      <c r="Z25" s="1464">
        <v>0</v>
      </c>
      <c r="AA25" s="1464">
        <v>0</v>
      </c>
      <c r="AB25" s="1464">
        <v>0</v>
      </c>
      <c r="AC25" s="1464">
        <v>0</v>
      </c>
      <c r="AD25" s="1464">
        <v>0</v>
      </c>
      <c r="AE25" s="1464">
        <v>0</v>
      </c>
      <c r="AF25" s="1464">
        <v>0</v>
      </c>
      <c r="AG25" s="1464">
        <v>0</v>
      </c>
      <c r="AH25" s="1464">
        <v>0</v>
      </c>
      <c r="AI25" s="1464">
        <v>0</v>
      </c>
      <c r="AJ25" s="1464">
        <v>0</v>
      </c>
      <c r="AK25" s="1464">
        <v>0</v>
      </c>
      <c r="AL25" s="1464">
        <v>0</v>
      </c>
      <c r="AM25" s="1464">
        <v>0</v>
      </c>
      <c r="AN25" s="1464">
        <v>0</v>
      </c>
      <c r="AO25" s="1464">
        <v>0</v>
      </c>
      <c r="AP25" s="1464">
        <v>0</v>
      </c>
      <c r="AQ25" s="1464">
        <v>0</v>
      </c>
      <c r="AR25" s="1464">
        <v>0</v>
      </c>
    </row>
    <row r="26" outlineLevel="1" spans="1:44">
      <c r="A26" s="1457" t="s">
        <v>415</v>
      </c>
      <c r="B26" s="1458">
        <v>5317.85997240827</v>
      </c>
      <c r="C26" s="1464">
        <v>0</v>
      </c>
      <c r="D26" s="1464">
        <v>0</v>
      </c>
      <c r="E26" s="1464">
        <v>0</v>
      </c>
      <c r="F26" s="1464">
        <v>0</v>
      </c>
      <c r="G26" s="1464">
        <v>0</v>
      </c>
      <c r="H26" s="1464">
        <v>0</v>
      </c>
      <c r="I26" s="1464">
        <v>0</v>
      </c>
      <c r="J26" s="1464">
        <v>0</v>
      </c>
      <c r="K26" s="1464">
        <v>0</v>
      </c>
      <c r="L26" s="1464">
        <v>0</v>
      </c>
      <c r="M26" s="1464">
        <v>0</v>
      </c>
      <c r="N26" s="1464">
        <v>0</v>
      </c>
      <c r="O26" s="1464">
        <v>0</v>
      </c>
      <c r="P26" s="1464">
        <v>608.196010064548</v>
      </c>
      <c r="Q26" s="1464">
        <v>608.196010064548</v>
      </c>
      <c r="R26" s="1464">
        <v>608.196010064548</v>
      </c>
      <c r="S26" s="1464">
        <v>608.196010064548</v>
      </c>
      <c r="T26" s="1464">
        <v>608.196010064548</v>
      </c>
      <c r="U26" s="1464">
        <v>608.196010064548</v>
      </c>
      <c r="V26" s="1464">
        <v>608.196010064548</v>
      </c>
      <c r="W26" s="1464">
        <v>1060.48790195644</v>
      </c>
      <c r="X26" s="1464">
        <v>0</v>
      </c>
      <c r="Y26" s="1464">
        <v>0</v>
      </c>
      <c r="Z26" s="1464">
        <v>0</v>
      </c>
      <c r="AA26" s="1464">
        <v>0</v>
      </c>
      <c r="AB26" s="1464">
        <v>0</v>
      </c>
      <c r="AC26" s="1464">
        <v>0</v>
      </c>
      <c r="AD26" s="1464">
        <v>0</v>
      </c>
      <c r="AE26" s="1464">
        <v>0</v>
      </c>
      <c r="AF26" s="1464">
        <v>0</v>
      </c>
      <c r="AG26" s="1464">
        <v>0</v>
      </c>
      <c r="AH26" s="1464">
        <v>0</v>
      </c>
      <c r="AI26" s="1464">
        <v>0</v>
      </c>
      <c r="AJ26" s="1464">
        <v>0</v>
      </c>
      <c r="AK26" s="1464">
        <v>0</v>
      </c>
      <c r="AL26" s="1464">
        <v>0</v>
      </c>
      <c r="AM26" s="1464">
        <v>0</v>
      </c>
      <c r="AN26" s="1464">
        <v>0</v>
      </c>
      <c r="AO26" s="1464">
        <v>0</v>
      </c>
      <c r="AP26" s="1464">
        <v>0</v>
      </c>
      <c r="AQ26" s="1464">
        <v>0</v>
      </c>
      <c r="AR26" s="1464">
        <v>0</v>
      </c>
    </row>
    <row r="27" spans="1:44">
      <c r="A27" s="1460" t="s">
        <v>416</v>
      </c>
      <c r="B27" s="1458">
        <v>45439.2847597279</v>
      </c>
      <c r="C27" s="1463">
        <v>0</v>
      </c>
      <c r="D27" s="1463">
        <v>0</v>
      </c>
      <c r="E27" s="1463">
        <v>0</v>
      </c>
      <c r="F27" s="1463">
        <v>0</v>
      </c>
      <c r="G27" s="1463">
        <v>0</v>
      </c>
      <c r="H27" s="1463">
        <v>0</v>
      </c>
      <c r="I27" s="1463">
        <v>0</v>
      </c>
      <c r="J27" s="1463">
        <v>0</v>
      </c>
      <c r="K27" s="1463">
        <v>0</v>
      </c>
      <c r="L27" s="1463">
        <v>0</v>
      </c>
      <c r="M27" s="1463">
        <v>0</v>
      </c>
      <c r="N27" s="1463">
        <v>0</v>
      </c>
      <c r="O27" s="1463">
        <v>0</v>
      </c>
      <c r="P27" s="1463">
        <v>5399.07088217163</v>
      </c>
      <c r="Q27" s="1463">
        <v>5399.07088217163</v>
      </c>
      <c r="R27" s="1463">
        <v>5399.07088217163</v>
      </c>
      <c r="S27" s="1463">
        <v>5399.07088217163</v>
      </c>
      <c r="T27" s="1463">
        <v>5299.60888599965</v>
      </c>
      <c r="U27" s="1463">
        <v>5299.60888599965</v>
      </c>
      <c r="V27" s="1463">
        <v>5299.60888599965</v>
      </c>
      <c r="W27" s="1463">
        <v>7944.17457304244</v>
      </c>
      <c r="X27" s="1463">
        <v>0</v>
      </c>
      <c r="Y27" s="1463">
        <v>0</v>
      </c>
      <c r="Z27" s="1463">
        <v>0</v>
      </c>
      <c r="AA27" s="1463">
        <v>0</v>
      </c>
      <c r="AB27" s="1463">
        <v>0</v>
      </c>
      <c r="AC27" s="1463">
        <v>0</v>
      </c>
      <c r="AD27" s="1463">
        <v>0</v>
      </c>
      <c r="AE27" s="1463">
        <v>0</v>
      </c>
      <c r="AF27" s="1463">
        <v>0</v>
      </c>
      <c r="AG27" s="1463">
        <v>0</v>
      </c>
      <c r="AH27" s="1463">
        <v>0</v>
      </c>
      <c r="AI27" s="1463">
        <v>0</v>
      </c>
      <c r="AJ27" s="1463">
        <v>0</v>
      </c>
      <c r="AK27" s="1463">
        <v>0</v>
      </c>
      <c r="AL27" s="1463">
        <v>0</v>
      </c>
      <c r="AM27" s="1463">
        <v>0</v>
      </c>
      <c r="AN27" s="1463">
        <v>0</v>
      </c>
      <c r="AO27" s="1463">
        <v>0</v>
      </c>
      <c r="AP27" s="1463">
        <v>0</v>
      </c>
      <c r="AQ27" s="1463">
        <v>0</v>
      </c>
      <c r="AR27" s="1463">
        <v>0</v>
      </c>
    </row>
    <row r="28" spans="1:44">
      <c r="A28" s="1460" t="s">
        <v>404</v>
      </c>
      <c r="B28" s="1458">
        <v>11359.821189932</v>
      </c>
      <c r="C28" s="1465">
        <v>0</v>
      </c>
      <c r="D28" s="1465">
        <v>0</v>
      </c>
      <c r="E28" s="1465">
        <v>0</v>
      </c>
      <c r="F28" s="1465">
        <v>0</v>
      </c>
      <c r="G28" s="1465">
        <v>0</v>
      </c>
      <c r="H28" s="1478">
        <v>0</v>
      </c>
      <c r="I28" s="1465">
        <v>0</v>
      </c>
      <c r="J28" s="1465">
        <v>0</v>
      </c>
      <c r="K28" s="1465">
        <v>0</v>
      </c>
      <c r="L28" s="1465">
        <v>0</v>
      </c>
      <c r="M28" s="1465">
        <v>0</v>
      </c>
      <c r="N28" s="1465">
        <v>0</v>
      </c>
      <c r="O28" s="1465">
        <v>0</v>
      </c>
      <c r="P28" s="1465">
        <v>1349.76772054291</v>
      </c>
      <c r="Q28" s="1465">
        <v>1349.76772054291</v>
      </c>
      <c r="R28" s="1465">
        <v>1349.76772054291</v>
      </c>
      <c r="S28" s="1465">
        <v>1349.76772054291</v>
      </c>
      <c r="T28" s="1465">
        <v>1324.90222149991</v>
      </c>
      <c r="U28" s="1465">
        <v>1324.90222149991</v>
      </c>
      <c r="V28" s="1465">
        <v>1324.90222149991</v>
      </c>
      <c r="W28" s="1465">
        <v>1986.04364326061</v>
      </c>
      <c r="X28" s="1465">
        <v>0</v>
      </c>
      <c r="Y28" s="1465">
        <v>0</v>
      </c>
      <c r="Z28" s="1465">
        <v>0</v>
      </c>
      <c r="AA28" s="1465">
        <v>0</v>
      </c>
      <c r="AB28" s="1465">
        <v>0</v>
      </c>
      <c r="AC28" s="1465">
        <v>0</v>
      </c>
      <c r="AD28" s="1465">
        <v>0</v>
      </c>
      <c r="AE28" s="1465">
        <v>0</v>
      </c>
      <c r="AF28" s="1465">
        <v>0</v>
      </c>
      <c r="AG28" s="1465">
        <v>0</v>
      </c>
      <c r="AH28" s="1465">
        <v>0</v>
      </c>
      <c r="AI28" s="1465">
        <v>0</v>
      </c>
      <c r="AJ28" s="1465">
        <v>0</v>
      </c>
      <c r="AK28" s="1465">
        <v>0</v>
      </c>
      <c r="AL28" s="1465">
        <v>0</v>
      </c>
      <c r="AM28" s="1465">
        <v>0</v>
      </c>
      <c r="AN28" s="1465">
        <v>0</v>
      </c>
      <c r="AO28" s="1465">
        <v>0</v>
      </c>
      <c r="AP28" s="1465">
        <v>0</v>
      </c>
      <c r="AQ28" s="1465">
        <v>0</v>
      </c>
      <c r="AR28" s="1465">
        <v>0</v>
      </c>
    </row>
    <row r="29" spans="1:44">
      <c r="A29" s="1460" t="s">
        <v>417</v>
      </c>
      <c r="B29" s="1458">
        <v>34079.4635697959</v>
      </c>
      <c r="C29" s="1463">
        <v>0</v>
      </c>
      <c r="D29" s="1463">
        <v>0</v>
      </c>
      <c r="E29" s="1463">
        <v>0</v>
      </c>
      <c r="F29" s="1463">
        <v>0</v>
      </c>
      <c r="G29" s="1463">
        <v>0</v>
      </c>
      <c r="H29" s="1463">
        <v>0</v>
      </c>
      <c r="I29" s="1463">
        <v>0</v>
      </c>
      <c r="J29" s="1463">
        <v>0</v>
      </c>
      <c r="K29" s="1463">
        <v>0</v>
      </c>
      <c r="L29" s="1463">
        <v>0</v>
      </c>
      <c r="M29" s="1463">
        <v>0</v>
      </c>
      <c r="N29" s="1463">
        <v>0</v>
      </c>
      <c r="O29" s="1463">
        <v>0</v>
      </c>
      <c r="P29" s="1463">
        <v>4049.30316162872</v>
      </c>
      <c r="Q29" s="1463">
        <v>4049.30316162872</v>
      </c>
      <c r="R29" s="1463">
        <v>4049.30316162872</v>
      </c>
      <c r="S29" s="1463">
        <v>4049.30316162872</v>
      </c>
      <c r="T29" s="1463">
        <v>3974.70666449974</v>
      </c>
      <c r="U29" s="1463">
        <v>3974.70666449974</v>
      </c>
      <c r="V29" s="1463">
        <v>3974.70666449974</v>
      </c>
      <c r="W29" s="1463">
        <v>5958.13092978183</v>
      </c>
      <c r="X29" s="1463">
        <v>0</v>
      </c>
      <c r="Y29" s="1463">
        <v>0</v>
      </c>
      <c r="Z29" s="1463">
        <v>0</v>
      </c>
      <c r="AA29" s="1463">
        <v>0</v>
      </c>
      <c r="AB29" s="1463">
        <v>0</v>
      </c>
      <c r="AC29" s="1463">
        <v>0</v>
      </c>
      <c r="AD29" s="1463">
        <v>0</v>
      </c>
      <c r="AE29" s="1463">
        <v>0</v>
      </c>
      <c r="AF29" s="1463">
        <v>0</v>
      </c>
      <c r="AG29" s="1463">
        <v>0</v>
      </c>
      <c r="AH29" s="1463">
        <v>0</v>
      </c>
      <c r="AI29" s="1463">
        <v>0</v>
      </c>
      <c r="AJ29" s="1463">
        <v>0</v>
      </c>
      <c r="AK29" s="1463">
        <v>0</v>
      </c>
      <c r="AL29" s="1463">
        <v>0</v>
      </c>
      <c r="AM29" s="1463">
        <v>0</v>
      </c>
      <c r="AN29" s="1463">
        <v>0</v>
      </c>
      <c r="AO29" s="1463">
        <v>0</v>
      </c>
      <c r="AP29" s="1463">
        <v>0</v>
      </c>
      <c r="AQ29" s="1463">
        <v>0</v>
      </c>
      <c r="AR29" s="1463">
        <v>0</v>
      </c>
    </row>
    <row r="30" s="1445" customFormat="1" spans="1:44">
      <c r="A30" s="1466"/>
      <c r="B30" s="1467"/>
      <c r="C30" s="1468"/>
      <c r="D30" s="1468"/>
      <c r="E30" s="1468"/>
      <c r="F30" s="1468"/>
      <c r="G30" s="1468"/>
      <c r="H30" s="1468"/>
      <c r="I30" s="1468"/>
      <c r="J30" s="1468"/>
      <c r="K30" s="1468"/>
      <c r="L30" s="1468"/>
      <c r="M30" s="1468"/>
      <c r="N30" s="1468"/>
      <c r="O30" s="1468"/>
      <c r="P30" s="1468"/>
      <c r="Q30" s="1468"/>
      <c r="R30" s="1468"/>
      <c r="S30" s="1468"/>
      <c r="T30" s="1468"/>
      <c r="U30" s="1468"/>
      <c r="V30" s="1468"/>
      <c r="W30" s="1468"/>
      <c r="X30" s="1468"/>
      <c r="Y30" s="1468"/>
      <c r="Z30" s="1468"/>
      <c r="AA30" s="1468"/>
      <c r="AB30" s="1468"/>
      <c r="AC30" s="1468"/>
      <c r="AD30" s="1468"/>
      <c r="AE30" s="1468"/>
      <c r="AF30" s="1468"/>
      <c r="AG30" s="1468"/>
      <c r="AH30" s="1468"/>
      <c r="AI30" s="1468"/>
      <c r="AJ30" s="1468"/>
      <c r="AK30" s="1468"/>
      <c r="AL30" s="1468"/>
      <c r="AM30" s="1468"/>
      <c r="AN30" s="1468"/>
      <c r="AO30" s="1468"/>
      <c r="AP30" s="1468"/>
      <c r="AQ30" s="1468"/>
      <c r="AR30" s="1468"/>
    </row>
    <row r="31" spans="1:44">
      <c r="A31" s="1460" t="s">
        <v>418</v>
      </c>
      <c r="B31" s="1469">
        <v>2975.8251872264</v>
      </c>
      <c r="C31" s="1448"/>
      <c r="D31" s="1448"/>
      <c r="E31" s="1448"/>
      <c r="F31" s="1448"/>
      <c r="G31" s="1448"/>
      <c r="H31" s="1448"/>
      <c r="I31" s="1448"/>
      <c r="J31" s="1448"/>
      <c r="K31" s="1448"/>
      <c r="L31" s="1448"/>
      <c r="M31" s="1448"/>
      <c r="N31" s="1448"/>
      <c r="O31" s="1448"/>
      <c r="P31" s="1448"/>
      <c r="Q31" s="1448"/>
      <c r="R31" s="1448"/>
      <c r="S31" s="1448"/>
      <c r="T31" s="1448"/>
      <c r="U31" s="1448"/>
      <c r="V31" s="1448"/>
      <c r="W31" s="1448"/>
      <c r="X31" s="1448"/>
      <c r="Y31" s="1448"/>
      <c r="Z31" s="1448"/>
      <c r="AA31" s="1448"/>
      <c r="AB31" s="1448"/>
      <c r="AC31" s="1448"/>
      <c r="AD31" s="1448"/>
      <c r="AE31" s="1448"/>
      <c r="AF31" s="1448"/>
      <c r="AG31" s="1448"/>
      <c r="AH31" s="1448"/>
      <c r="AI31" s="1448"/>
      <c r="AJ31" s="1448"/>
      <c r="AK31" s="1448"/>
      <c r="AL31" s="1448"/>
      <c r="AM31" s="1448"/>
      <c r="AN31" s="1448"/>
      <c r="AO31" s="1448"/>
      <c r="AP31" s="1448"/>
      <c r="AQ31" s="1448"/>
      <c r="AR31" s="1448"/>
    </row>
    <row r="32" spans="1:44">
      <c r="A32" s="1460" t="s">
        <v>419</v>
      </c>
      <c r="B32" s="1465">
        <v>1666.12317205769</v>
      </c>
      <c r="C32" s="1448"/>
      <c r="D32" s="1448"/>
      <c r="E32" s="1448"/>
      <c r="F32" s="1448"/>
      <c r="G32" s="1448"/>
      <c r="H32" s="1448"/>
      <c r="I32" s="1448"/>
      <c r="J32" s="1448"/>
      <c r="K32" s="1448"/>
      <c r="L32" s="1448"/>
      <c r="M32" s="1448"/>
      <c r="N32" s="1448"/>
      <c r="O32" s="1448"/>
      <c r="P32" s="1448"/>
      <c r="Q32" s="1448"/>
      <c r="R32" s="1448"/>
      <c r="S32" s="1448"/>
      <c r="T32" s="1448"/>
      <c r="U32" s="1448"/>
      <c r="V32" s="1448"/>
      <c r="W32" s="1448"/>
      <c r="X32" s="1448"/>
      <c r="Y32" s="1448"/>
      <c r="Z32" s="1448"/>
      <c r="AA32" s="1448"/>
      <c r="AB32" s="1448"/>
      <c r="AC32" s="1448"/>
      <c r="AD32" s="1448"/>
      <c r="AE32" s="1448"/>
      <c r="AF32" s="1448"/>
      <c r="AG32" s="1448"/>
      <c r="AH32" s="1448"/>
      <c r="AI32" s="1448"/>
      <c r="AJ32" s="1448"/>
      <c r="AK32" s="1448"/>
      <c r="AL32" s="1448"/>
      <c r="AM32" s="1448"/>
      <c r="AN32" s="1448"/>
      <c r="AO32" s="1448"/>
      <c r="AP32" s="1448"/>
      <c r="AQ32" s="1448"/>
      <c r="AR32" s="1448"/>
    </row>
    <row r="33" spans="1:44">
      <c r="A33" s="1460" t="s">
        <v>420</v>
      </c>
      <c r="B33" s="1470">
        <v>0.263259468063036</v>
      </c>
      <c r="C33" s="1448"/>
      <c r="D33" s="1448"/>
      <c r="E33" s="1448"/>
      <c r="F33" s="1448"/>
      <c r="G33" s="1448"/>
      <c r="H33" s="1448"/>
      <c r="I33" s="1448"/>
      <c r="J33" s="1448"/>
      <c r="K33" s="1448"/>
      <c r="L33" s="1448"/>
      <c r="M33" s="1448"/>
      <c r="N33" s="1448"/>
      <c r="O33" s="1448"/>
      <c r="P33" s="1448"/>
      <c r="Q33" s="1448"/>
      <c r="R33" s="1448"/>
      <c r="S33" s="1448"/>
      <c r="T33" s="1448"/>
      <c r="U33" s="1448"/>
      <c r="V33" s="1448"/>
      <c r="W33" s="1448"/>
      <c r="X33" s="1448"/>
      <c r="Y33" s="1448"/>
      <c r="Z33" s="1448"/>
      <c r="AA33" s="1448"/>
      <c r="AB33" s="1448"/>
      <c r="AC33" s="1448"/>
      <c r="AD33" s="1448"/>
      <c r="AE33" s="1448"/>
      <c r="AF33" s="1448"/>
      <c r="AG33" s="1448"/>
      <c r="AH33" s="1448"/>
      <c r="AI33" s="1448"/>
      <c r="AJ33" s="1448"/>
      <c r="AK33" s="1448"/>
      <c r="AL33" s="1448"/>
      <c r="AM33" s="1448"/>
      <c r="AN33" s="1448"/>
      <c r="AO33" s="1448"/>
      <c r="AP33" s="1448"/>
      <c r="AQ33" s="1448"/>
      <c r="AR33" s="1448"/>
    </row>
    <row r="34" spans="1:44">
      <c r="A34" s="1460" t="s">
        <v>421</v>
      </c>
      <c r="B34" s="1470">
        <v>0.147395318073849</v>
      </c>
      <c r="C34" s="1448"/>
      <c r="D34" s="1448"/>
      <c r="E34" s="1448"/>
      <c r="F34" s="1448"/>
      <c r="G34" s="1448"/>
      <c r="H34" s="1448"/>
      <c r="I34" s="1448"/>
      <c r="J34" s="1448"/>
      <c r="K34" s="1448"/>
      <c r="L34" s="1448"/>
      <c r="M34" s="1448"/>
      <c r="N34" s="1448"/>
      <c r="O34" s="1448"/>
      <c r="P34" s="1448"/>
      <c r="Q34" s="1448"/>
      <c r="R34" s="1448"/>
      <c r="S34" s="1448"/>
      <c r="T34" s="1448"/>
      <c r="U34" s="1448"/>
      <c r="V34" s="1448"/>
      <c r="W34" s="1448"/>
      <c r="X34" s="1448"/>
      <c r="Y34" s="1448"/>
      <c r="Z34" s="1448"/>
      <c r="AA34" s="1448"/>
      <c r="AB34" s="1448"/>
      <c r="AC34" s="1448"/>
      <c r="AD34" s="1448"/>
      <c r="AE34" s="1448"/>
      <c r="AF34" s="1448"/>
      <c r="AG34" s="1448"/>
      <c r="AH34" s="1448"/>
      <c r="AI34" s="1448"/>
      <c r="AJ34" s="1448"/>
      <c r="AK34" s="1448"/>
      <c r="AL34" s="1448"/>
      <c r="AM34" s="1448"/>
      <c r="AN34" s="1448"/>
      <c r="AO34" s="1448"/>
      <c r="AP34" s="1448"/>
      <c r="AQ34" s="1448"/>
      <c r="AR34" s="1448"/>
    </row>
    <row r="36" spans="1:44">
      <c r="A36" s="1449" t="s">
        <v>1</v>
      </c>
      <c r="B36" s="1471" t="s">
        <v>2</v>
      </c>
      <c r="C36" s="1451" t="s">
        <v>422</v>
      </c>
      <c r="D36" s="1451" t="s">
        <v>422</v>
      </c>
      <c r="E36" s="1451" t="s">
        <v>423</v>
      </c>
      <c r="F36" s="1451" t="s">
        <v>423</v>
      </c>
      <c r="G36" s="1451" t="s">
        <v>423</v>
      </c>
      <c r="H36" s="1451" t="s">
        <v>423</v>
      </c>
      <c r="I36" s="1451" t="s">
        <v>424</v>
      </c>
      <c r="J36" s="1451" t="s">
        <v>424</v>
      </c>
      <c r="K36" s="1451" t="s">
        <v>424</v>
      </c>
      <c r="L36" s="1451" t="s">
        <v>424</v>
      </c>
      <c r="M36" s="1451" t="s">
        <v>425</v>
      </c>
      <c r="N36" s="1451" t="s">
        <v>425</v>
      </c>
      <c r="O36" s="1451" t="s">
        <v>425</v>
      </c>
      <c r="P36" s="1451" t="s">
        <v>425</v>
      </c>
      <c r="Q36" s="1451" t="s">
        <v>426</v>
      </c>
      <c r="R36" s="1451" t="s">
        <v>426</v>
      </c>
      <c r="S36" s="1451" t="s">
        <v>426</v>
      </c>
      <c r="T36" s="1451" t="s">
        <v>426</v>
      </c>
      <c r="U36" s="1451" t="s">
        <v>427</v>
      </c>
      <c r="V36" s="1451" t="s">
        <v>427</v>
      </c>
      <c r="W36" s="1451" t="s">
        <v>427</v>
      </c>
      <c r="X36" s="1451" t="s">
        <v>427</v>
      </c>
      <c r="Y36" s="1451" t="s">
        <v>428</v>
      </c>
      <c r="Z36" s="1451" t="s">
        <v>428</v>
      </c>
      <c r="AA36" s="1451" t="s">
        <v>428</v>
      </c>
      <c r="AB36" s="1451" t="s">
        <v>428</v>
      </c>
      <c r="AC36" s="1451" t="s">
        <v>429</v>
      </c>
      <c r="AD36" s="1451" t="s">
        <v>429</v>
      </c>
      <c r="AE36" s="1451" t="s">
        <v>429</v>
      </c>
      <c r="AF36" s="1451" t="s">
        <v>429</v>
      </c>
      <c r="AG36" s="1451" t="s">
        <v>298</v>
      </c>
      <c r="AH36" s="1451" t="s">
        <v>298</v>
      </c>
      <c r="AI36" s="1451" t="s">
        <v>298</v>
      </c>
      <c r="AJ36" s="1451" t="s">
        <v>298</v>
      </c>
      <c r="AK36" s="1451" t="s">
        <v>299</v>
      </c>
      <c r="AL36" s="1451" t="s">
        <v>299</v>
      </c>
      <c r="AM36" s="1451" t="s">
        <v>299</v>
      </c>
      <c r="AN36" s="1451" t="s">
        <v>299</v>
      </c>
      <c r="AO36" s="1451" t="s">
        <v>300</v>
      </c>
      <c r="AP36" s="1451" t="s">
        <v>300</v>
      </c>
      <c r="AQ36" s="1451" t="s">
        <v>300</v>
      </c>
      <c r="AR36" s="1451" t="s">
        <v>300</v>
      </c>
    </row>
    <row r="37" spans="1:44">
      <c r="A37" s="1452"/>
      <c r="B37" s="1472"/>
      <c r="C37" s="1454" t="s">
        <v>119</v>
      </c>
      <c r="D37" s="1454" t="s">
        <v>120</v>
      </c>
      <c r="E37" s="1454" t="s">
        <v>121</v>
      </c>
      <c r="F37" s="1454" t="s">
        <v>122</v>
      </c>
      <c r="G37" s="1454" t="s">
        <v>123</v>
      </c>
      <c r="H37" s="1454" t="s">
        <v>124</v>
      </c>
      <c r="I37" s="1454" t="s">
        <v>125</v>
      </c>
      <c r="J37" s="1454" t="s">
        <v>126</v>
      </c>
      <c r="K37" s="1454" t="s">
        <v>127</v>
      </c>
      <c r="L37" s="1454" t="s">
        <v>128</v>
      </c>
      <c r="M37" s="1454" t="s">
        <v>129</v>
      </c>
      <c r="N37" s="1454" t="s">
        <v>130</v>
      </c>
      <c r="O37" s="1454" t="s">
        <v>131</v>
      </c>
      <c r="P37" s="1454" t="s">
        <v>132</v>
      </c>
      <c r="Q37" s="1454" t="s">
        <v>133</v>
      </c>
      <c r="R37" s="1454" t="s">
        <v>134</v>
      </c>
      <c r="S37" s="1454" t="s">
        <v>135</v>
      </c>
      <c r="T37" s="1454" t="s">
        <v>136</v>
      </c>
      <c r="U37" s="1454" t="s">
        <v>137</v>
      </c>
      <c r="V37" s="1454" t="s">
        <v>138</v>
      </c>
      <c r="W37" s="1454" t="s">
        <v>302</v>
      </c>
      <c r="X37" s="1454" t="s">
        <v>303</v>
      </c>
      <c r="Y37" s="1454" t="s">
        <v>271</v>
      </c>
      <c r="Z37" s="1454" t="s">
        <v>264</v>
      </c>
      <c r="AA37" s="1454" t="s">
        <v>304</v>
      </c>
      <c r="AB37" s="1454" t="s">
        <v>305</v>
      </c>
      <c r="AC37" s="1454" t="s">
        <v>306</v>
      </c>
      <c r="AD37" s="1454" t="s">
        <v>307</v>
      </c>
      <c r="AE37" s="1454" t="s">
        <v>308</v>
      </c>
      <c r="AF37" s="1454" t="s">
        <v>309</v>
      </c>
      <c r="AG37" s="1454" t="s">
        <v>310</v>
      </c>
      <c r="AH37" s="1454" t="s">
        <v>311</v>
      </c>
      <c r="AI37" s="1454" t="s">
        <v>312</v>
      </c>
      <c r="AJ37" s="1454" t="s">
        <v>313</v>
      </c>
      <c r="AK37" s="1454" t="s">
        <v>314</v>
      </c>
      <c r="AL37" s="1454" t="s">
        <v>315</v>
      </c>
      <c r="AM37" s="1454" t="s">
        <v>316</v>
      </c>
      <c r="AN37" s="1454" t="s">
        <v>317</v>
      </c>
      <c r="AO37" s="1454" t="s">
        <v>318</v>
      </c>
      <c r="AP37" s="1454" t="s">
        <v>319</v>
      </c>
      <c r="AQ37" s="1454" t="s">
        <v>320</v>
      </c>
      <c r="AR37" s="1454" t="s">
        <v>321</v>
      </c>
    </row>
    <row r="38" spans="1:44">
      <c r="A38" s="1446" t="s">
        <v>50</v>
      </c>
      <c r="B38" s="1447" t="s">
        <v>202</v>
      </c>
      <c r="C38" s="1447">
        <v>0</v>
      </c>
      <c r="D38" s="1447">
        <v>0</v>
      </c>
      <c r="E38" s="1447">
        <v>0</v>
      </c>
      <c r="F38" s="1447">
        <v>0</v>
      </c>
      <c r="G38" s="1447">
        <v>0</v>
      </c>
      <c r="H38" s="1447">
        <v>0</v>
      </c>
      <c r="I38" s="1447">
        <v>0</v>
      </c>
      <c r="J38" s="1447">
        <v>0</v>
      </c>
      <c r="K38" s="1447">
        <v>0</v>
      </c>
      <c r="L38" s="1447">
        <v>0</v>
      </c>
      <c r="M38" s="1447">
        <v>0</v>
      </c>
      <c r="N38" s="1447">
        <v>0</v>
      </c>
      <c r="O38" s="1447">
        <v>0</v>
      </c>
      <c r="P38" s="1447">
        <v>144.185298345273</v>
      </c>
      <c r="Q38" s="1447">
        <v>144.185298345273</v>
      </c>
      <c r="R38" s="1447">
        <v>144.185298345273</v>
      </c>
      <c r="S38" s="1447">
        <v>144.185298345273</v>
      </c>
      <c r="T38" s="1447">
        <v>0</v>
      </c>
      <c r="U38" s="1447">
        <v>0</v>
      </c>
      <c r="V38" s="1447">
        <v>0</v>
      </c>
      <c r="W38" s="1447">
        <v>0</v>
      </c>
      <c r="X38" s="1447">
        <v>0</v>
      </c>
      <c r="Y38" s="1447">
        <v>0</v>
      </c>
      <c r="Z38" s="1447">
        <v>0</v>
      </c>
      <c r="AA38" s="1447">
        <v>0</v>
      </c>
      <c r="AB38" s="1447">
        <v>0</v>
      </c>
      <c r="AC38" s="1447">
        <v>0</v>
      </c>
      <c r="AD38" s="1447">
        <v>0</v>
      </c>
      <c r="AE38" s="1447">
        <v>0</v>
      </c>
      <c r="AF38" s="1447">
        <v>0</v>
      </c>
      <c r="AG38" s="1447">
        <v>0</v>
      </c>
      <c r="AH38" s="1447">
        <v>0</v>
      </c>
      <c r="AI38" s="1447">
        <v>0</v>
      </c>
      <c r="AJ38" s="1447">
        <v>0</v>
      </c>
      <c r="AK38" s="1447">
        <v>0</v>
      </c>
      <c r="AL38" s="1447">
        <v>0</v>
      </c>
      <c r="AM38" s="1447">
        <v>0</v>
      </c>
      <c r="AN38" s="1447">
        <v>0</v>
      </c>
      <c r="AO38" s="1447">
        <v>0</v>
      </c>
      <c r="AP38" s="1447">
        <v>0</v>
      </c>
      <c r="AQ38" s="1447">
        <v>0</v>
      </c>
      <c r="AR38" s="1447">
        <v>0</v>
      </c>
    </row>
    <row r="39" spans="1:44">
      <c r="A39" s="1446" t="s">
        <v>50</v>
      </c>
      <c r="B39" s="1447" t="s">
        <v>195</v>
      </c>
      <c r="C39" s="1447">
        <v>0</v>
      </c>
      <c r="D39" s="1447">
        <v>0</v>
      </c>
      <c r="E39" s="1447">
        <v>0</v>
      </c>
      <c r="F39" s="1447">
        <v>0</v>
      </c>
      <c r="G39" s="1447">
        <v>0</v>
      </c>
      <c r="H39" s="1447">
        <v>0</v>
      </c>
      <c r="I39" s="1447">
        <v>0</v>
      </c>
      <c r="J39" s="1447">
        <v>0</v>
      </c>
      <c r="K39" s="1447">
        <v>0</v>
      </c>
      <c r="L39" s="1447">
        <v>0</v>
      </c>
      <c r="M39" s="1447">
        <v>0</v>
      </c>
      <c r="N39" s="1447">
        <v>0</v>
      </c>
      <c r="O39" s="1447">
        <v>0</v>
      </c>
      <c r="P39" s="1447">
        <v>23400</v>
      </c>
      <c r="Q39" s="1447">
        <v>23400</v>
      </c>
      <c r="R39" s="1447">
        <v>23400</v>
      </c>
      <c r="S39" s="1447">
        <v>23400</v>
      </c>
      <c r="T39" s="1447">
        <v>0</v>
      </c>
      <c r="U39" s="1447">
        <v>0</v>
      </c>
      <c r="V39" s="1447">
        <v>0</v>
      </c>
      <c r="W39" s="1447">
        <v>0</v>
      </c>
      <c r="X39" s="1447">
        <v>0</v>
      </c>
      <c r="Y39" s="1447">
        <v>0</v>
      </c>
      <c r="Z39" s="1447">
        <v>0</v>
      </c>
      <c r="AA39" s="1447">
        <v>0</v>
      </c>
      <c r="AB39" s="1447">
        <v>0</v>
      </c>
      <c r="AC39" s="1447">
        <v>0</v>
      </c>
      <c r="AD39" s="1447">
        <v>0</v>
      </c>
      <c r="AE39" s="1447">
        <v>0</v>
      </c>
      <c r="AF39" s="1447">
        <v>0</v>
      </c>
      <c r="AG39" s="1447">
        <v>0</v>
      </c>
      <c r="AH39" s="1447">
        <v>0</v>
      </c>
      <c r="AI39" s="1447">
        <v>0</v>
      </c>
      <c r="AJ39" s="1447">
        <v>0</v>
      </c>
      <c r="AK39" s="1447">
        <v>0</v>
      </c>
      <c r="AL39" s="1447">
        <v>0</v>
      </c>
      <c r="AM39" s="1447">
        <v>0</v>
      </c>
      <c r="AN39" s="1447">
        <v>0</v>
      </c>
      <c r="AO39" s="1447">
        <v>0</v>
      </c>
      <c r="AP39" s="1447">
        <v>0</v>
      </c>
      <c r="AQ39" s="1447">
        <v>0</v>
      </c>
      <c r="AR39" s="1447">
        <v>0</v>
      </c>
    </row>
    <row r="40" spans="1:40">
      <c r="A40" s="1446" t="s">
        <v>50</v>
      </c>
      <c r="B40" s="1447" t="s">
        <v>245</v>
      </c>
      <c r="C40" s="1447">
        <v>0</v>
      </c>
      <c r="D40" s="1447">
        <v>0</v>
      </c>
      <c r="E40" s="1447">
        <v>0</v>
      </c>
      <c r="F40" s="1447">
        <v>0</v>
      </c>
      <c r="G40" s="1447">
        <v>0</v>
      </c>
      <c r="H40" s="1447">
        <v>0</v>
      </c>
      <c r="I40" s="1447">
        <v>0</v>
      </c>
      <c r="J40" s="1447">
        <v>0</v>
      </c>
      <c r="K40" s="1447">
        <v>0</v>
      </c>
      <c r="L40" s="1447">
        <v>0</v>
      </c>
      <c r="M40" s="1447">
        <v>0</v>
      </c>
      <c r="N40" s="1447">
        <v>0</v>
      </c>
      <c r="O40" s="1447">
        <v>0</v>
      </c>
      <c r="P40" s="1447">
        <v>0</v>
      </c>
      <c r="Q40" s="1447">
        <v>0</v>
      </c>
      <c r="R40" s="1447">
        <v>0</v>
      </c>
      <c r="S40" s="1447">
        <v>0</v>
      </c>
      <c r="T40" s="1447">
        <v>0</v>
      </c>
      <c r="U40" s="1447">
        <v>0</v>
      </c>
      <c r="V40" s="1447">
        <v>0</v>
      </c>
      <c r="W40" s="1447">
        <v>0</v>
      </c>
      <c r="X40" s="1447">
        <v>0</v>
      </c>
      <c r="Y40" s="1447">
        <v>0</v>
      </c>
      <c r="Z40" s="1447">
        <v>0</v>
      </c>
      <c r="AA40" s="1447">
        <v>0</v>
      </c>
      <c r="AB40" s="1447">
        <v>0</v>
      </c>
      <c r="AC40" s="1447">
        <v>0</v>
      </c>
      <c r="AD40" s="1447">
        <v>0</v>
      </c>
      <c r="AE40" s="1447">
        <v>0</v>
      </c>
      <c r="AF40" s="1447">
        <v>0</v>
      </c>
      <c r="AG40" s="1447">
        <v>0</v>
      </c>
      <c r="AH40" s="1447">
        <v>0</v>
      </c>
      <c r="AI40" s="1447">
        <v>0</v>
      </c>
      <c r="AJ40" s="1447">
        <v>0</v>
      </c>
      <c r="AK40" s="1447">
        <v>0</v>
      </c>
      <c r="AL40" s="1447">
        <v>0</v>
      </c>
      <c r="AM40" s="1447">
        <v>0</v>
      </c>
      <c r="AN40" s="1447">
        <v>0</v>
      </c>
    </row>
    <row r="41" spans="1:40">
      <c r="A41" s="1446" t="s">
        <v>50</v>
      </c>
      <c r="B41" s="1447" t="s">
        <v>199</v>
      </c>
      <c r="C41" s="1447">
        <v>0</v>
      </c>
      <c r="D41" s="1447">
        <v>0</v>
      </c>
      <c r="E41" s="1447">
        <v>0</v>
      </c>
      <c r="F41" s="1447">
        <v>0</v>
      </c>
      <c r="G41" s="1447">
        <v>0</v>
      </c>
      <c r="H41" s="1447">
        <v>0</v>
      </c>
      <c r="I41" s="1447">
        <v>0</v>
      </c>
      <c r="J41" s="1447">
        <v>0</v>
      </c>
      <c r="K41" s="1447">
        <v>0</v>
      </c>
      <c r="L41" s="1447">
        <v>0</v>
      </c>
      <c r="M41" s="1447">
        <v>0</v>
      </c>
      <c r="N41" s="1447">
        <v>0</v>
      </c>
      <c r="O41" s="1447">
        <v>0</v>
      </c>
      <c r="P41" s="1447">
        <v>0</v>
      </c>
      <c r="Q41" s="1447">
        <v>0</v>
      </c>
      <c r="R41" s="1447">
        <v>0</v>
      </c>
      <c r="S41" s="1447">
        <v>0</v>
      </c>
      <c r="T41" s="1447">
        <v>0</v>
      </c>
      <c r="U41" s="1447">
        <v>0</v>
      </c>
      <c r="V41" s="1447">
        <v>0</v>
      </c>
      <c r="W41" s="1447">
        <v>0</v>
      </c>
      <c r="X41" s="1447">
        <v>0</v>
      </c>
      <c r="Y41" s="1447">
        <v>0</v>
      </c>
      <c r="Z41" s="1447">
        <v>0</v>
      </c>
      <c r="AA41" s="1447">
        <v>0</v>
      </c>
      <c r="AB41" s="1447">
        <v>0</v>
      </c>
      <c r="AC41" s="1447">
        <v>0</v>
      </c>
      <c r="AD41" s="1447">
        <v>0</v>
      </c>
      <c r="AE41" s="1447">
        <v>0</v>
      </c>
      <c r="AF41" s="1447">
        <v>0</v>
      </c>
      <c r="AG41" s="1447">
        <v>0</v>
      </c>
      <c r="AH41" s="1447">
        <v>0</v>
      </c>
      <c r="AI41" s="1447">
        <v>0</v>
      </c>
      <c r="AJ41" s="1447">
        <v>0</v>
      </c>
      <c r="AK41" s="1447">
        <v>0</v>
      </c>
      <c r="AL41" s="1447">
        <v>0</v>
      </c>
      <c r="AM41" s="1447">
        <v>0</v>
      </c>
      <c r="AN41" s="1447">
        <v>0</v>
      </c>
    </row>
    <row r="42" spans="1:44">
      <c r="A42" s="1446" t="s">
        <v>50</v>
      </c>
      <c r="B42" s="1447" t="s">
        <v>63</v>
      </c>
      <c r="C42" s="1447">
        <v>0</v>
      </c>
      <c r="D42" s="1447">
        <v>0</v>
      </c>
      <c r="E42" s="1447">
        <v>0</v>
      </c>
      <c r="F42" s="1447">
        <v>0</v>
      </c>
      <c r="G42" s="1447">
        <v>0</v>
      </c>
      <c r="H42" s="1447">
        <v>0</v>
      </c>
      <c r="I42" s="1447">
        <v>0</v>
      </c>
      <c r="J42" s="1447">
        <v>0</v>
      </c>
      <c r="K42" s="1447">
        <v>0</v>
      </c>
      <c r="L42" s="1447">
        <v>0</v>
      </c>
      <c r="M42" s="1447">
        <v>0</v>
      </c>
      <c r="N42" s="1447">
        <v>0</v>
      </c>
      <c r="O42" s="1447">
        <v>0</v>
      </c>
      <c r="P42" s="1447">
        <v>0</v>
      </c>
      <c r="Q42" s="1447">
        <v>0</v>
      </c>
      <c r="R42" s="1447">
        <v>0</v>
      </c>
      <c r="S42" s="1447">
        <v>0</v>
      </c>
      <c r="T42" s="1447">
        <v>0</v>
      </c>
      <c r="U42" s="1447">
        <v>0</v>
      </c>
      <c r="V42" s="1447">
        <v>0</v>
      </c>
      <c r="W42" s="1447">
        <v>0</v>
      </c>
      <c r="X42" s="1447">
        <v>0</v>
      </c>
      <c r="Y42" s="1447">
        <v>0</v>
      </c>
      <c r="Z42" s="1447">
        <v>0</v>
      </c>
      <c r="AA42" s="1447">
        <v>0</v>
      </c>
      <c r="AB42" s="1447">
        <v>0</v>
      </c>
      <c r="AC42" s="1447">
        <v>0</v>
      </c>
      <c r="AD42" s="1447">
        <v>0</v>
      </c>
      <c r="AE42" s="1447">
        <v>0</v>
      </c>
      <c r="AF42" s="1447">
        <v>0</v>
      </c>
      <c r="AG42" s="1447">
        <v>0</v>
      </c>
      <c r="AH42" s="1447">
        <v>0</v>
      </c>
      <c r="AI42" s="1447">
        <v>0</v>
      </c>
      <c r="AJ42" s="1447">
        <v>0</v>
      </c>
      <c r="AK42" s="1447">
        <v>0</v>
      </c>
      <c r="AL42" s="1447">
        <v>0</v>
      </c>
      <c r="AM42" s="1447">
        <v>0</v>
      </c>
      <c r="AN42" s="1447">
        <v>0</v>
      </c>
      <c r="AO42" s="1447">
        <v>0</v>
      </c>
      <c r="AP42" s="1447">
        <v>0</v>
      </c>
      <c r="AQ42" s="1447">
        <v>0</v>
      </c>
      <c r="AR42" s="1447">
        <v>0</v>
      </c>
    </row>
    <row r="43" spans="1:44">
      <c r="A43" s="1446" t="s">
        <v>52</v>
      </c>
      <c r="B43" s="1447" t="s">
        <v>202</v>
      </c>
      <c r="C43" s="1447">
        <v>0</v>
      </c>
      <c r="D43" s="1447">
        <v>0</v>
      </c>
      <c r="E43" s="1447">
        <v>0</v>
      </c>
      <c r="F43" s="1447">
        <v>0</v>
      </c>
      <c r="G43" s="1447">
        <v>0</v>
      </c>
      <c r="H43" s="1447">
        <v>0</v>
      </c>
      <c r="I43" s="1447">
        <v>0</v>
      </c>
      <c r="J43" s="1447">
        <v>0</v>
      </c>
      <c r="K43" s="1447">
        <v>0</v>
      </c>
      <c r="L43" s="1447">
        <v>0</v>
      </c>
      <c r="M43" s="1447">
        <v>0</v>
      </c>
      <c r="N43" s="1447">
        <v>0</v>
      </c>
      <c r="O43" s="1447">
        <v>0</v>
      </c>
      <c r="P43" s="1447">
        <v>0</v>
      </c>
      <c r="Q43" s="1447">
        <v>0</v>
      </c>
      <c r="R43" s="1447">
        <v>0</v>
      </c>
      <c r="S43" s="1447">
        <v>0</v>
      </c>
      <c r="T43" s="1447">
        <v>144.185298345273</v>
      </c>
      <c r="U43" s="1447">
        <v>144.185298345273</v>
      </c>
      <c r="V43" s="1447">
        <v>144.185298345273</v>
      </c>
      <c r="W43" s="1447">
        <v>144.185298345273</v>
      </c>
      <c r="X43" s="1447">
        <v>0</v>
      </c>
      <c r="Y43" s="1447">
        <v>0</v>
      </c>
      <c r="Z43" s="1447">
        <v>0</v>
      </c>
      <c r="AA43" s="1447">
        <v>0</v>
      </c>
      <c r="AB43" s="1447">
        <v>0</v>
      </c>
      <c r="AC43" s="1447">
        <v>0</v>
      </c>
      <c r="AD43" s="1447">
        <v>0</v>
      </c>
      <c r="AE43" s="1447">
        <v>0</v>
      </c>
      <c r="AF43" s="1447">
        <v>0</v>
      </c>
      <c r="AG43" s="1447">
        <v>0</v>
      </c>
      <c r="AH43" s="1447">
        <v>0</v>
      </c>
      <c r="AI43" s="1447">
        <v>0</v>
      </c>
      <c r="AJ43" s="1447">
        <v>0</v>
      </c>
      <c r="AK43" s="1447">
        <v>0</v>
      </c>
      <c r="AL43" s="1447">
        <v>0</v>
      </c>
      <c r="AM43" s="1447">
        <v>0</v>
      </c>
      <c r="AN43" s="1447">
        <v>0</v>
      </c>
      <c r="AO43" s="1447">
        <v>0</v>
      </c>
      <c r="AP43" s="1447">
        <v>0</v>
      </c>
      <c r="AQ43" s="1447">
        <v>0</v>
      </c>
      <c r="AR43" s="1447">
        <v>0</v>
      </c>
    </row>
    <row r="44" spans="1:44">
      <c r="A44" s="1446" t="s">
        <v>52</v>
      </c>
      <c r="B44" s="1447" t="s">
        <v>195</v>
      </c>
      <c r="C44" s="1447">
        <v>0</v>
      </c>
      <c r="D44" s="1447">
        <v>0</v>
      </c>
      <c r="E44" s="1447">
        <v>0</v>
      </c>
      <c r="F44" s="1447">
        <v>0</v>
      </c>
      <c r="G44" s="1447">
        <v>0</v>
      </c>
      <c r="H44" s="1447">
        <v>0</v>
      </c>
      <c r="I44" s="1447">
        <v>0</v>
      </c>
      <c r="J44" s="1447">
        <v>0</v>
      </c>
      <c r="K44" s="1447">
        <v>0</v>
      </c>
      <c r="L44" s="1447">
        <v>0</v>
      </c>
      <c r="M44" s="1447">
        <v>0</v>
      </c>
      <c r="N44" s="1447">
        <v>0</v>
      </c>
      <c r="O44" s="1447">
        <v>0</v>
      </c>
      <c r="P44" s="1447">
        <v>0</v>
      </c>
      <c r="Q44" s="1447">
        <v>0</v>
      </c>
      <c r="R44" s="1447">
        <v>0</v>
      </c>
      <c r="S44" s="1447">
        <v>0</v>
      </c>
      <c r="T44" s="1447">
        <v>23400</v>
      </c>
      <c r="U44" s="1447">
        <v>23400</v>
      </c>
      <c r="V44" s="1447">
        <v>23400</v>
      </c>
      <c r="W44" s="1447">
        <v>23400</v>
      </c>
      <c r="X44" s="1447">
        <v>0</v>
      </c>
      <c r="Y44" s="1447">
        <v>0</v>
      </c>
      <c r="Z44" s="1447">
        <v>0</v>
      </c>
      <c r="AA44" s="1447">
        <v>0</v>
      </c>
      <c r="AB44" s="1447">
        <v>0</v>
      </c>
      <c r="AC44" s="1447">
        <v>0</v>
      </c>
      <c r="AD44" s="1447">
        <v>0</v>
      </c>
      <c r="AE44" s="1447">
        <v>0</v>
      </c>
      <c r="AF44" s="1447">
        <v>0</v>
      </c>
      <c r="AG44" s="1447">
        <v>0</v>
      </c>
      <c r="AH44" s="1447">
        <v>0</v>
      </c>
      <c r="AI44" s="1447">
        <v>0</v>
      </c>
      <c r="AJ44" s="1447">
        <v>0</v>
      </c>
      <c r="AK44" s="1447">
        <v>0</v>
      </c>
      <c r="AL44" s="1447">
        <v>0</v>
      </c>
      <c r="AM44" s="1447">
        <v>0</v>
      </c>
      <c r="AN44" s="1447">
        <v>0</v>
      </c>
      <c r="AO44" s="1447">
        <v>0</v>
      </c>
      <c r="AP44" s="1447">
        <v>0</v>
      </c>
      <c r="AQ44" s="1447">
        <v>0</v>
      </c>
      <c r="AR44" s="1447">
        <v>0</v>
      </c>
    </row>
    <row r="45" spans="1:44">
      <c r="A45" s="1446" t="s">
        <v>52</v>
      </c>
      <c r="B45" s="1447" t="s">
        <v>245</v>
      </c>
      <c r="C45" s="1447">
        <v>0</v>
      </c>
      <c r="D45" s="1447">
        <v>0</v>
      </c>
      <c r="E45" s="1447">
        <v>0</v>
      </c>
      <c r="F45" s="1447">
        <v>0</v>
      </c>
      <c r="G45" s="1447">
        <v>0</v>
      </c>
      <c r="H45" s="1447">
        <v>0</v>
      </c>
      <c r="I45" s="1447">
        <v>0</v>
      </c>
      <c r="J45" s="1447">
        <v>0</v>
      </c>
      <c r="K45" s="1447">
        <v>0</v>
      </c>
      <c r="L45" s="1447">
        <v>0</v>
      </c>
      <c r="M45" s="1447">
        <v>0</v>
      </c>
      <c r="N45" s="1447">
        <v>0</v>
      </c>
      <c r="O45" s="1447">
        <v>0</v>
      </c>
      <c r="P45" s="1447">
        <v>0</v>
      </c>
      <c r="Q45" s="1447">
        <v>0</v>
      </c>
      <c r="R45" s="1447">
        <v>0</v>
      </c>
      <c r="S45" s="1447">
        <v>0</v>
      </c>
      <c r="T45" s="1447">
        <v>0</v>
      </c>
      <c r="U45" s="1447">
        <v>0</v>
      </c>
      <c r="V45" s="1447">
        <v>0</v>
      </c>
      <c r="W45" s="1447">
        <v>0</v>
      </c>
      <c r="X45" s="1447">
        <v>0</v>
      </c>
      <c r="Y45" s="1447">
        <v>0</v>
      </c>
      <c r="Z45" s="1447">
        <v>0</v>
      </c>
      <c r="AA45" s="1447">
        <v>0</v>
      </c>
      <c r="AB45" s="1447">
        <v>0</v>
      </c>
      <c r="AC45" s="1447">
        <v>0</v>
      </c>
      <c r="AD45" s="1447">
        <v>0</v>
      </c>
      <c r="AE45" s="1447">
        <v>0</v>
      </c>
      <c r="AF45" s="1447">
        <v>0</v>
      </c>
      <c r="AG45" s="1447">
        <v>0</v>
      </c>
      <c r="AH45" s="1447">
        <v>0</v>
      </c>
      <c r="AI45" s="1447">
        <v>0</v>
      </c>
      <c r="AJ45" s="1447">
        <v>0</v>
      </c>
      <c r="AK45" s="1447">
        <v>0</v>
      </c>
      <c r="AL45" s="1447">
        <v>0</v>
      </c>
      <c r="AM45" s="1447">
        <v>0</v>
      </c>
      <c r="AN45" s="1447">
        <v>0</v>
      </c>
      <c r="AO45" s="1447">
        <v>0</v>
      </c>
      <c r="AP45" s="1447">
        <v>0</v>
      </c>
      <c r="AQ45" s="1447">
        <v>0</v>
      </c>
      <c r="AR45" s="1447">
        <v>0</v>
      </c>
    </row>
    <row r="46" spans="1:44">
      <c r="A46" s="1446" t="s">
        <v>52</v>
      </c>
      <c r="B46" s="1447" t="s">
        <v>199</v>
      </c>
      <c r="C46" s="1447">
        <v>0</v>
      </c>
      <c r="D46" s="1447">
        <v>0</v>
      </c>
      <c r="E46" s="1447">
        <v>0</v>
      </c>
      <c r="F46" s="1447">
        <v>0</v>
      </c>
      <c r="G46" s="1447">
        <v>0</v>
      </c>
      <c r="H46" s="1447">
        <v>0</v>
      </c>
      <c r="I46" s="1447">
        <v>0</v>
      </c>
      <c r="J46" s="1447">
        <v>0</v>
      </c>
      <c r="K46" s="1447">
        <v>0</v>
      </c>
      <c r="L46" s="1447">
        <v>0</v>
      </c>
      <c r="M46" s="1447">
        <v>0</v>
      </c>
      <c r="N46" s="1447">
        <v>0</v>
      </c>
      <c r="O46" s="1447">
        <v>0</v>
      </c>
      <c r="P46" s="1447">
        <v>0</v>
      </c>
      <c r="Q46" s="1447">
        <v>0</v>
      </c>
      <c r="R46" s="1447">
        <v>0</v>
      </c>
      <c r="S46" s="1447">
        <v>0</v>
      </c>
      <c r="T46" s="1447">
        <v>0</v>
      </c>
      <c r="U46" s="1447">
        <v>0</v>
      </c>
      <c r="V46" s="1447">
        <v>0</v>
      </c>
      <c r="W46" s="1447">
        <v>0</v>
      </c>
      <c r="X46" s="1447">
        <v>0</v>
      </c>
      <c r="Y46" s="1447">
        <v>0</v>
      </c>
      <c r="Z46" s="1447">
        <v>0</v>
      </c>
      <c r="AA46" s="1447">
        <v>0</v>
      </c>
      <c r="AB46" s="1447">
        <v>0</v>
      </c>
      <c r="AC46" s="1447">
        <v>0</v>
      </c>
      <c r="AD46" s="1447">
        <v>0</v>
      </c>
      <c r="AE46" s="1447">
        <v>0</v>
      </c>
      <c r="AF46" s="1447">
        <v>0</v>
      </c>
      <c r="AG46" s="1447">
        <v>0</v>
      </c>
      <c r="AH46" s="1447">
        <v>0</v>
      </c>
      <c r="AI46" s="1447">
        <v>0</v>
      </c>
      <c r="AJ46" s="1447">
        <v>0</v>
      </c>
      <c r="AK46" s="1447">
        <v>0</v>
      </c>
      <c r="AL46" s="1447">
        <v>0</v>
      </c>
      <c r="AM46" s="1447">
        <v>0</v>
      </c>
      <c r="AN46" s="1447">
        <v>0</v>
      </c>
      <c r="AO46" s="1447">
        <v>0</v>
      </c>
      <c r="AP46" s="1447">
        <v>0</v>
      </c>
      <c r="AQ46" s="1447">
        <v>0</v>
      </c>
      <c r="AR46" s="1447">
        <v>0</v>
      </c>
    </row>
    <row r="47" spans="1:44">
      <c r="A47" s="1446" t="s">
        <v>52</v>
      </c>
      <c r="B47" s="1447" t="s">
        <v>63</v>
      </c>
      <c r="C47" s="1447">
        <v>0</v>
      </c>
      <c r="D47" s="1447">
        <v>0</v>
      </c>
      <c r="E47" s="1447">
        <v>0</v>
      </c>
      <c r="F47" s="1447">
        <v>0</v>
      </c>
      <c r="G47" s="1447">
        <v>0</v>
      </c>
      <c r="H47" s="1447">
        <v>0</v>
      </c>
      <c r="I47" s="1447">
        <v>0</v>
      </c>
      <c r="J47" s="1447">
        <v>0</v>
      </c>
      <c r="K47" s="1447">
        <v>0</v>
      </c>
      <c r="L47" s="1447">
        <v>0</v>
      </c>
      <c r="M47" s="1447">
        <v>0</v>
      </c>
      <c r="N47" s="1447">
        <v>0</v>
      </c>
      <c r="O47" s="1447">
        <v>0</v>
      </c>
      <c r="P47" s="1447">
        <v>0</v>
      </c>
      <c r="Q47" s="1447">
        <v>0</v>
      </c>
      <c r="R47" s="1447">
        <v>0</v>
      </c>
      <c r="S47" s="1447">
        <v>0</v>
      </c>
      <c r="T47" s="1447">
        <v>0</v>
      </c>
      <c r="U47" s="1447">
        <v>0</v>
      </c>
      <c r="V47" s="1447">
        <v>0</v>
      </c>
      <c r="W47" s="1447">
        <v>3000</v>
      </c>
      <c r="X47" s="1447">
        <v>0</v>
      </c>
      <c r="Y47" s="1447">
        <v>0</v>
      </c>
      <c r="Z47" s="1447">
        <v>0</v>
      </c>
      <c r="AA47" s="1447">
        <v>0</v>
      </c>
      <c r="AB47" s="1447">
        <v>0</v>
      </c>
      <c r="AC47" s="1447">
        <v>0</v>
      </c>
      <c r="AD47" s="1447">
        <v>0</v>
      </c>
      <c r="AE47" s="1447">
        <v>0</v>
      </c>
      <c r="AF47" s="1447">
        <v>0</v>
      </c>
      <c r="AG47" s="1447">
        <v>0</v>
      </c>
      <c r="AH47" s="1447">
        <v>0</v>
      </c>
      <c r="AI47" s="1447">
        <v>0</v>
      </c>
      <c r="AJ47" s="1447">
        <v>0</v>
      </c>
      <c r="AK47" s="1447">
        <v>0</v>
      </c>
      <c r="AL47" s="1447">
        <v>0</v>
      </c>
      <c r="AM47" s="1447">
        <v>0</v>
      </c>
      <c r="AN47" s="1447">
        <v>0</v>
      </c>
      <c r="AO47" s="1447">
        <v>0</v>
      </c>
      <c r="AP47" s="1447">
        <v>0</v>
      </c>
      <c r="AQ47" s="1447">
        <v>0</v>
      </c>
      <c r="AR47" s="1447">
        <v>0</v>
      </c>
    </row>
    <row r="48" spans="1:44">
      <c r="A48" s="1479" t="s">
        <v>53</v>
      </c>
      <c r="B48" s="1447" t="s">
        <v>202</v>
      </c>
      <c r="C48" s="1447">
        <v>0</v>
      </c>
      <c r="D48" s="1447">
        <v>0</v>
      </c>
      <c r="E48" s="1447">
        <v>0</v>
      </c>
      <c r="F48" s="1447">
        <v>0</v>
      </c>
      <c r="G48" s="1447">
        <v>0</v>
      </c>
      <c r="H48" s="1447">
        <v>0</v>
      </c>
      <c r="I48" s="1447">
        <v>0</v>
      </c>
      <c r="J48" s="1447">
        <v>0</v>
      </c>
      <c r="K48" s="1447">
        <v>0</v>
      </c>
      <c r="L48" s="1447">
        <v>0</v>
      </c>
      <c r="M48" s="1447">
        <v>0</v>
      </c>
      <c r="N48" s="1447">
        <v>0</v>
      </c>
      <c r="O48" s="1447">
        <v>0</v>
      </c>
      <c r="P48" s="1447">
        <v>0</v>
      </c>
      <c r="Q48" s="1447">
        <v>0</v>
      </c>
      <c r="R48" s="1447">
        <v>0</v>
      </c>
      <c r="S48" s="1447">
        <v>0</v>
      </c>
      <c r="T48" s="1447">
        <v>0</v>
      </c>
      <c r="U48" s="1447">
        <v>0</v>
      </c>
      <c r="V48" s="1447">
        <v>0</v>
      </c>
      <c r="W48" s="1447">
        <v>0</v>
      </c>
      <c r="X48" s="1447">
        <v>0</v>
      </c>
      <c r="Y48" s="1447">
        <v>0</v>
      </c>
      <c r="Z48" s="1447">
        <v>0</v>
      </c>
      <c r="AA48" s="1447">
        <v>0</v>
      </c>
      <c r="AB48" s="1447">
        <v>0</v>
      </c>
      <c r="AC48" s="1447">
        <v>0</v>
      </c>
      <c r="AD48" s="1447">
        <v>0</v>
      </c>
      <c r="AE48" s="1447">
        <v>0</v>
      </c>
      <c r="AF48" s="1447">
        <v>0</v>
      </c>
      <c r="AG48" s="1447">
        <v>0</v>
      </c>
      <c r="AH48" s="1447">
        <v>0</v>
      </c>
      <c r="AI48" s="1447">
        <v>0</v>
      </c>
      <c r="AJ48" s="1447">
        <v>0</v>
      </c>
      <c r="AK48" s="1447">
        <v>0</v>
      </c>
      <c r="AL48" s="1447">
        <v>0</v>
      </c>
      <c r="AM48" s="1447">
        <v>0</v>
      </c>
      <c r="AN48" s="1447">
        <v>0</v>
      </c>
      <c r="AO48" s="1447">
        <v>0</v>
      </c>
      <c r="AP48" s="1447">
        <v>0</v>
      </c>
      <c r="AQ48" s="1447">
        <v>0</v>
      </c>
      <c r="AR48" s="1447">
        <v>0</v>
      </c>
    </row>
    <row r="49" spans="1:44">
      <c r="A49" s="1446" t="s">
        <v>53</v>
      </c>
      <c r="B49" s="1447" t="s">
        <v>195</v>
      </c>
      <c r="C49" s="1447">
        <v>0</v>
      </c>
      <c r="D49" s="1447">
        <v>0</v>
      </c>
      <c r="E49" s="1447">
        <v>0</v>
      </c>
      <c r="F49" s="1447">
        <v>0</v>
      </c>
      <c r="G49" s="1447">
        <v>0</v>
      </c>
      <c r="H49" s="1447">
        <v>0</v>
      </c>
      <c r="I49" s="1447">
        <v>0</v>
      </c>
      <c r="J49" s="1447">
        <v>0</v>
      </c>
      <c r="K49" s="1447">
        <v>0</v>
      </c>
      <c r="L49" s="1447">
        <v>0</v>
      </c>
      <c r="M49" s="1447">
        <v>0</v>
      </c>
      <c r="N49" s="1447">
        <v>0</v>
      </c>
      <c r="O49" s="1447">
        <v>0</v>
      </c>
      <c r="P49" s="1447">
        <v>0</v>
      </c>
      <c r="Q49" s="1447">
        <v>0</v>
      </c>
      <c r="R49" s="1447">
        <v>0</v>
      </c>
      <c r="S49" s="1447">
        <v>0</v>
      </c>
      <c r="T49" s="1447">
        <v>0</v>
      </c>
      <c r="U49" s="1447">
        <v>0</v>
      </c>
      <c r="V49" s="1447">
        <v>0</v>
      </c>
      <c r="W49" s="1447">
        <v>0</v>
      </c>
      <c r="X49" s="1447">
        <v>0</v>
      </c>
      <c r="Y49" s="1447">
        <v>0</v>
      </c>
      <c r="Z49" s="1447">
        <v>0</v>
      </c>
      <c r="AA49" s="1447">
        <v>0</v>
      </c>
      <c r="AB49" s="1447">
        <v>0</v>
      </c>
      <c r="AC49" s="1447">
        <v>0</v>
      </c>
      <c r="AD49" s="1447">
        <v>0</v>
      </c>
      <c r="AE49" s="1447">
        <v>0</v>
      </c>
      <c r="AF49" s="1447">
        <v>0</v>
      </c>
      <c r="AG49" s="1447">
        <v>0</v>
      </c>
      <c r="AH49" s="1447">
        <v>0</v>
      </c>
      <c r="AI49" s="1447">
        <v>0</v>
      </c>
      <c r="AJ49" s="1447">
        <v>0</v>
      </c>
      <c r="AK49" s="1447">
        <v>0</v>
      </c>
      <c r="AL49" s="1447">
        <v>0</v>
      </c>
      <c r="AM49" s="1447">
        <v>0</v>
      </c>
      <c r="AN49" s="1447">
        <v>0</v>
      </c>
      <c r="AO49" s="1447">
        <v>0</v>
      </c>
      <c r="AP49" s="1447">
        <v>0</v>
      </c>
      <c r="AQ49" s="1447">
        <v>0</v>
      </c>
      <c r="AR49" s="1447">
        <v>0</v>
      </c>
    </row>
    <row r="50" spans="1:44">
      <c r="A50" s="1446" t="s">
        <v>53</v>
      </c>
      <c r="B50" s="1447" t="s">
        <v>245</v>
      </c>
      <c r="C50" s="1447">
        <v>0</v>
      </c>
      <c r="D50" s="1447">
        <v>0</v>
      </c>
      <c r="E50" s="1447">
        <v>0</v>
      </c>
      <c r="F50" s="1447">
        <v>0</v>
      </c>
      <c r="G50" s="1447">
        <v>0</v>
      </c>
      <c r="H50" s="1447">
        <v>0</v>
      </c>
      <c r="I50" s="1447">
        <v>0</v>
      </c>
      <c r="J50" s="1447">
        <v>0</v>
      </c>
      <c r="K50" s="1447">
        <v>0</v>
      </c>
      <c r="L50" s="1447">
        <v>0</v>
      </c>
      <c r="M50" s="1447">
        <v>0</v>
      </c>
      <c r="N50" s="1447">
        <v>0</v>
      </c>
      <c r="O50" s="1447">
        <v>0</v>
      </c>
      <c r="P50" s="1447">
        <v>0</v>
      </c>
      <c r="Q50" s="1447">
        <v>0</v>
      </c>
      <c r="R50" s="1447">
        <v>0</v>
      </c>
      <c r="S50" s="1447">
        <v>0</v>
      </c>
      <c r="T50" s="1447">
        <v>0</v>
      </c>
      <c r="U50" s="1447">
        <v>0</v>
      </c>
      <c r="V50" s="1447">
        <v>0</v>
      </c>
      <c r="W50" s="1447">
        <v>13190</v>
      </c>
      <c r="X50" s="1447">
        <v>0</v>
      </c>
      <c r="Y50" s="1447">
        <v>0</v>
      </c>
      <c r="Z50" s="1447">
        <v>0</v>
      </c>
      <c r="AA50" s="1447">
        <v>0</v>
      </c>
      <c r="AB50" s="1447">
        <v>0</v>
      </c>
      <c r="AC50" s="1447">
        <v>0</v>
      </c>
      <c r="AD50" s="1447">
        <v>0</v>
      </c>
      <c r="AE50" s="1447">
        <v>0</v>
      </c>
      <c r="AF50" s="1447">
        <v>0</v>
      </c>
      <c r="AG50" s="1447">
        <v>0</v>
      </c>
      <c r="AH50" s="1447">
        <v>0</v>
      </c>
      <c r="AI50" s="1447">
        <v>0</v>
      </c>
      <c r="AJ50" s="1447">
        <v>0</v>
      </c>
      <c r="AK50" s="1447">
        <v>0</v>
      </c>
      <c r="AL50" s="1447">
        <v>0</v>
      </c>
      <c r="AM50" s="1447">
        <v>0</v>
      </c>
      <c r="AN50" s="1447">
        <v>0</v>
      </c>
      <c r="AO50" s="1447">
        <v>0</v>
      </c>
      <c r="AP50" s="1447">
        <v>0</v>
      </c>
      <c r="AQ50" s="1447">
        <v>0</v>
      </c>
      <c r="AR50" s="1447">
        <v>0</v>
      </c>
    </row>
    <row r="51" spans="1:44">
      <c r="A51" s="1446" t="s">
        <v>53</v>
      </c>
      <c r="B51" s="1447" t="s">
        <v>199</v>
      </c>
      <c r="C51" s="1447">
        <v>0</v>
      </c>
      <c r="D51" s="1447">
        <v>0</v>
      </c>
      <c r="E51" s="1447">
        <v>0</v>
      </c>
      <c r="F51" s="1447">
        <v>0</v>
      </c>
      <c r="G51" s="1447">
        <v>0</v>
      </c>
      <c r="H51" s="1447">
        <v>0</v>
      </c>
      <c r="I51" s="1447">
        <v>0</v>
      </c>
      <c r="J51" s="1447">
        <v>0</v>
      </c>
      <c r="K51" s="1447">
        <v>0</v>
      </c>
      <c r="L51" s="1447">
        <v>0</v>
      </c>
      <c r="M51" s="1447">
        <v>0</v>
      </c>
      <c r="N51" s="1447">
        <v>0</v>
      </c>
      <c r="O51" s="1447">
        <v>0</v>
      </c>
      <c r="P51" s="1447">
        <v>0</v>
      </c>
      <c r="Q51" s="1447">
        <v>0</v>
      </c>
      <c r="R51" s="1447">
        <v>0</v>
      </c>
      <c r="S51" s="1447">
        <v>0</v>
      </c>
      <c r="T51" s="1447">
        <v>0</v>
      </c>
      <c r="U51" s="1447">
        <v>0</v>
      </c>
      <c r="V51" s="1447">
        <v>0</v>
      </c>
      <c r="W51" s="1447">
        <v>0</v>
      </c>
      <c r="X51" s="1447">
        <v>0</v>
      </c>
      <c r="Y51" s="1447">
        <v>0</v>
      </c>
      <c r="Z51" s="1447">
        <v>0</v>
      </c>
      <c r="AA51" s="1447">
        <v>0</v>
      </c>
      <c r="AB51" s="1447">
        <v>0</v>
      </c>
      <c r="AC51" s="1447">
        <v>0</v>
      </c>
      <c r="AD51" s="1447">
        <v>0</v>
      </c>
      <c r="AE51" s="1447">
        <v>0</v>
      </c>
      <c r="AF51" s="1447">
        <v>0</v>
      </c>
      <c r="AG51" s="1447">
        <v>0</v>
      </c>
      <c r="AH51" s="1447">
        <v>0</v>
      </c>
      <c r="AI51" s="1447">
        <v>0</v>
      </c>
      <c r="AJ51" s="1447">
        <v>0</v>
      </c>
      <c r="AK51" s="1447">
        <v>0</v>
      </c>
      <c r="AL51" s="1447">
        <v>0</v>
      </c>
      <c r="AM51" s="1447">
        <v>0</v>
      </c>
      <c r="AN51" s="1447">
        <v>0</v>
      </c>
      <c r="AO51" s="1447">
        <v>0</v>
      </c>
      <c r="AP51" s="1447">
        <v>0</v>
      </c>
      <c r="AQ51" s="1447">
        <v>0</v>
      </c>
      <c r="AR51" s="1447">
        <v>0</v>
      </c>
    </row>
    <row r="52" spans="1:44">
      <c r="A52" s="1446" t="s">
        <v>53</v>
      </c>
      <c r="B52" s="1447" t="s">
        <v>63</v>
      </c>
      <c r="C52" s="1447">
        <v>0</v>
      </c>
      <c r="D52" s="1447">
        <v>0</v>
      </c>
      <c r="E52" s="1447">
        <v>0</v>
      </c>
      <c r="F52" s="1447">
        <v>0</v>
      </c>
      <c r="G52" s="1447">
        <v>0</v>
      </c>
      <c r="H52" s="1447">
        <v>0</v>
      </c>
      <c r="I52" s="1447">
        <v>0</v>
      </c>
      <c r="J52" s="1447">
        <v>0</v>
      </c>
      <c r="K52" s="1447">
        <v>0</v>
      </c>
      <c r="L52" s="1447">
        <v>0</v>
      </c>
      <c r="M52" s="1447">
        <v>0</v>
      </c>
      <c r="N52" s="1447">
        <v>0</v>
      </c>
      <c r="O52" s="1447">
        <v>0</v>
      </c>
      <c r="P52" s="1447">
        <v>0</v>
      </c>
      <c r="Q52" s="1447">
        <v>0</v>
      </c>
      <c r="R52" s="1447">
        <v>0</v>
      </c>
      <c r="S52" s="1447">
        <v>0</v>
      </c>
      <c r="T52" s="1447">
        <v>0</v>
      </c>
      <c r="U52" s="1447">
        <v>0</v>
      </c>
      <c r="V52" s="1447">
        <v>0</v>
      </c>
      <c r="W52" s="1447">
        <v>0</v>
      </c>
      <c r="X52" s="1447">
        <v>0</v>
      </c>
      <c r="Y52" s="1447">
        <v>0</v>
      </c>
      <c r="Z52" s="1447">
        <v>0</v>
      </c>
      <c r="AA52" s="1447">
        <v>0</v>
      </c>
      <c r="AB52" s="1447">
        <v>0</v>
      </c>
      <c r="AC52" s="1447">
        <v>0</v>
      </c>
      <c r="AD52" s="1447">
        <v>0</v>
      </c>
      <c r="AE52" s="1447">
        <v>0</v>
      </c>
      <c r="AF52" s="1447">
        <v>0</v>
      </c>
      <c r="AG52" s="1447">
        <v>0</v>
      </c>
      <c r="AH52" s="1447">
        <v>0</v>
      </c>
      <c r="AI52" s="1447">
        <v>0</v>
      </c>
      <c r="AJ52" s="1447">
        <v>0</v>
      </c>
      <c r="AK52" s="1447">
        <v>0</v>
      </c>
      <c r="AL52" s="1447">
        <v>0</v>
      </c>
      <c r="AM52" s="1447">
        <v>0</v>
      </c>
      <c r="AN52" s="1447">
        <v>0</v>
      </c>
      <c r="AO52" s="1447">
        <v>0</v>
      </c>
      <c r="AP52" s="1447">
        <v>0</v>
      </c>
      <c r="AQ52" s="1447">
        <v>0</v>
      </c>
      <c r="AR52" s="1447">
        <v>0</v>
      </c>
    </row>
  </sheetData>
  <mergeCells count="4">
    <mergeCell ref="A1:A2"/>
    <mergeCell ref="A36:A37"/>
    <mergeCell ref="B1:B2"/>
    <mergeCell ref="B36:B37"/>
  </mergeCell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R52"/>
  <sheetViews>
    <sheetView workbookViewId="0">
      <pane xSplit="2" ySplit="2" topLeftCell="S3" activePane="bottomRight" state="frozen"/>
      <selection/>
      <selection pane="topRight"/>
      <selection pane="bottomLeft"/>
      <selection pane="bottomRight" activeCell="A1" sqref="A1:A2"/>
    </sheetView>
  </sheetViews>
  <sheetFormatPr defaultColWidth="9" defaultRowHeight="12.75"/>
  <cols>
    <col min="1" max="1" width="16" style="1446" customWidth="1"/>
    <col min="2" max="2" width="9.1" style="1447" customWidth="1"/>
    <col min="3" max="8" width="10.9" style="1447" customWidth="1"/>
    <col min="9" max="14" width="10.1" style="1447" customWidth="1"/>
    <col min="15" max="20" width="10.9" style="1447" customWidth="1"/>
    <col min="21" max="26" width="10.1" style="1447" customWidth="1"/>
    <col min="27" max="32" width="10.9" style="1447" customWidth="1"/>
    <col min="33" max="44" width="10.1" style="1447" customWidth="1"/>
    <col min="45" max="255" width="9" style="1448"/>
    <col min="256" max="256" width="16" style="1448" customWidth="1"/>
    <col min="257" max="257" width="9.1" style="1448" customWidth="1"/>
    <col min="258" max="263" width="10.9" style="1448" customWidth="1"/>
    <col min="264" max="269" width="10.1" style="1448" customWidth="1"/>
    <col min="270" max="275" width="10.9" style="1448" customWidth="1"/>
    <col min="276" max="281" width="10.1" style="1448" customWidth="1"/>
    <col min="282" max="287" width="10.9" style="1448" customWidth="1"/>
    <col min="288" max="293" width="10.1" style="1448" customWidth="1"/>
    <col min="294" max="294" width="10.9" style="1448" customWidth="1"/>
    <col min="295" max="511" width="9" style="1448"/>
    <col min="512" max="512" width="16" style="1448" customWidth="1"/>
    <col min="513" max="513" width="9.1" style="1448" customWidth="1"/>
    <col min="514" max="519" width="10.9" style="1448" customWidth="1"/>
    <col min="520" max="525" width="10.1" style="1448" customWidth="1"/>
    <col min="526" max="531" width="10.9" style="1448" customWidth="1"/>
    <col min="532" max="537" width="10.1" style="1448" customWidth="1"/>
    <col min="538" max="543" width="10.9" style="1448" customWidth="1"/>
    <col min="544" max="549" width="10.1" style="1448" customWidth="1"/>
    <col min="550" max="550" width="10.9" style="1448" customWidth="1"/>
    <col min="551" max="767" width="9" style="1448"/>
    <col min="768" max="768" width="16" style="1448" customWidth="1"/>
    <col min="769" max="769" width="9.1" style="1448" customWidth="1"/>
    <col min="770" max="775" width="10.9" style="1448" customWidth="1"/>
    <col min="776" max="781" width="10.1" style="1448" customWidth="1"/>
    <col min="782" max="787" width="10.9" style="1448" customWidth="1"/>
    <col min="788" max="793" width="10.1" style="1448" customWidth="1"/>
    <col min="794" max="799" width="10.9" style="1448" customWidth="1"/>
    <col min="800" max="805" width="10.1" style="1448" customWidth="1"/>
    <col min="806" max="806" width="10.9" style="1448" customWidth="1"/>
    <col min="807" max="1023" width="9" style="1448"/>
    <col min="1024" max="1024" width="16" style="1448" customWidth="1"/>
    <col min="1025" max="1025" width="9.1" style="1448" customWidth="1"/>
    <col min="1026" max="1031" width="10.9" style="1448" customWidth="1"/>
    <col min="1032" max="1037" width="10.1" style="1448" customWidth="1"/>
    <col min="1038" max="1043" width="10.9" style="1448" customWidth="1"/>
    <col min="1044" max="1049" width="10.1" style="1448" customWidth="1"/>
    <col min="1050" max="1055" width="10.9" style="1448" customWidth="1"/>
    <col min="1056" max="1061" width="10.1" style="1448" customWidth="1"/>
    <col min="1062" max="1062" width="10.9" style="1448" customWidth="1"/>
    <col min="1063" max="1279" width="9" style="1448"/>
    <col min="1280" max="1280" width="16" style="1448" customWidth="1"/>
    <col min="1281" max="1281" width="9.1" style="1448" customWidth="1"/>
    <col min="1282" max="1287" width="10.9" style="1448" customWidth="1"/>
    <col min="1288" max="1293" width="10.1" style="1448" customWidth="1"/>
    <col min="1294" max="1299" width="10.9" style="1448" customWidth="1"/>
    <col min="1300" max="1305" width="10.1" style="1448" customWidth="1"/>
    <col min="1306" max="1311" width="10.9" style="1448" customWidth="1"/>
    <col min="1312" max="1317" width="10.1" style="1448" customWidth="1"/>
    <col min="1318" max="1318" width="10.9" style="1448" customWidth="1"/>
    <col min="1319" max="1535" width="9" style="1448"/>
    <col min="1536" max="1536" width="16" style="1448" customWidth="1"/>
    <col min="1537" max="1537" width="9.1" style="1448" customWidth="1"/>
    <col min="1538" max="1543" width="10.9" style="1448" customWidth="1"/>
    <col min="1544" max="1549" width="10.1" style="1448" customWidth="1"/>
    <col min="1550" max="1555" width="10.9" style="1448" customWidth="1"/>
    <col min="1556" max="1561" width="10.1" style="1448" customWidth="1"/>
    <col min="1562" max="1567" width="10.9" style="1448" customWidth="1"/>
    <col min="1568" max="1573" width="10.1" style="1448" customWidth="1"/>
    <col min="1574" max="1574" width="10.9" style="1448" customWidth="1"/>
    <col min="1575" max="1791" width="9" style="1448"/>
    <col min="1792" max="1792" width="16" style="1448" customWidth="1"/>
    <col min="1793" max="1793" width="9.1" style="1448" customWidth="1"/>
    <col min="1794" max="1799" width="10.9" style="1448" customWidth="1"/>
    <col min="1800" max="1805" width="10.1" style="1448" customWidth="1"/>
    <col min="1806" max="1811" width="10.9" style="1448" customWidth="1"/>
    <col min="1812" max="1817" width="10.1" style="1448" customWidth="1"/>
    <col min="1818" max="1823" width="10.9" style="1448" customWidth="1"/>
    <col min="1824" max="1829" width="10.1" style="1448" customWidth="1"/>
    <col min="1830" max="1830" width="10.9" style="1448" customWidth="1"/>
    <col min="1831" max="2047" width="9" style="1448"/>
    <col min="2048" max="2048" width="16" style="1448" customWidth="1"/>
    <col min="2049" max="2049" width="9.1" style="1448" customWidth="1"/>
    <col min="2050" max="2055" width="10.9" style="1448" customWidth="1"/>
    <col min="2056" max="2061" width="10.1" style="1448" customWidth="1"/>
    <col min="2062" max="2067" width="10.9" style="1448" customWidth="1"/>
    <col min="2068" max="2073" width="10.1" style="1448" customWidth="1"/>
    <col min="2074" max="2079" width="10.9" style="1448" customWidth="1"/>
    <col min="2080" max="2085" width="10.1" style="1448" customWidth="1"/>
    <col min="2086" max="2086" width="10.9" style="1448" customWidth="1"/>
    <col min="2087" max="2303" width="9" style="1448"/>
    <col min="2304" max="2304" width="16" style="1448" customWidth="1"/>
    <col min="2305" max="2305" width="9.1" style="1448" customWidth="1"/>
    <col min="2306" max="2311" width="10.9" style="1448" customWidth="1"/>
    <col min="2312" max="2317" width="10.1" style="1448" customWidth="1"/>
    <col min="2318" max="2323" width="10.9" style="1448" customWidth="1"/>
    <col min="2324" max="2329" width="10.1" style="1448" customWidth="1"/>
    <col min="2330" max="2335" width="10.9" style="1448" customWidth="1"/>
    <col min="2336" max="2341" width="10.1" style="1448" customWidth="1"/>
    <col min="2342" max="2342" width="10.9" style="1448" customWidth="1"/>
    <col min="2343" max="2559" width="9" style="1448"/>
    <col min="2560" max="2560" width="16" style="1448" customWidth="1"/>
    <col min="2561" max="2561" width="9.1" style="1448" customWidth="1"/>
    <col min="2562" max="2567" width="10.9" style="1448" customWidth="1"/>
    <col min="2568" max="2573" width="10.1" style="1448" customWidth="1"/>
    <col min="2574" max="2579" width="10.9" style="1448" customWidth="1"/>
    <col min="2580" max="2585" width="10.1" style="1448" customWidth="1"/>
    <col min="2586" max="2591" width="10.9" style="1448" customWidth="1"/>
    <col min="2592" max="2597" width="10.1" style="1448" customWidth="1"/>
    <col min="2598" max="2598" width="10.9" style="1448" customWidth="1"/>
    <col min="2599" max="2815" width="9" style="1448"/>
    <col min="2816" max="2816" width="16" style="1448" customWidth="1"/>
    <col min="2817" max="2817" width="9.1" style="1448" customWidth="1"/>
    <col min="2818" max="2823" width="10.9" style="1448" customWidth="1"/>
    <col min="2824" max="2829" width="10.1" style="1448" customWidth="1"/>
    <col min="2830" max="2835" width="10.9" style="1448" customWidth="1"/>
    <col min="2836" max="2841" width="10.1" style="1448" customWidth="1"/>
    <col min="2842" max="2847" width="10.9" style="1448" customWidth="1"/>
    <col min="2848" max="2853" width="10.1" style="1448" customWidth="1"/>
    <col min="2854" max="2854" width="10.9" style="1448" customWidth="1"/>
    <col min="2855" max="3071" width="9" style="1448"/>
    <col min="3072" max="3072" width="16" style="1448" customWidth="1"/>
    <col min="3073" max="3073" width="9.1" style="1448" customWidth="1"/>
    <col min="3074" max="3079" width="10.9" style="1448" customWidth="1"/>
    <col min="3080" max="3085" width="10.1" style="1448" customWidth="1"/>
    <col min="3086" max="3091" width="10.9" style="1448" customWidth="1"/>
    <col min="3092" max="3097" width="10.1" style="1448" customWidth="1"/>
    <col min="3098" max="3103" width="10.9" style="1448" customWidth="1"/>
    <col min="3104" max="3109" width="10.1" style="1448" customWidth="1"/>
    <col min="3110" max="3110" width="10.9" style="1448" customWidth="1"/>
    <col min="3111" max="3327" width="9" style="1448"/>
    <col min="3328" max="3328" width="16" style="1448" customWidth="1"/>
    <col min="3329" max="3329" width="9.1" style="1448" customWidth="1"/>
    <col min="3330" max="3335" width="10.9" style="1448" customWidth="1"/>
    <col min="3336" max="3341" width="10.1" style="1448" customWidth="1"/>
    <col min="3342" max="3347" width="10.9" style="1448" customWidth="1"/>
    <col min="3348" max="3353" width="10.1" style="1448" customWidth="1"/>
    <col min="3354" max="3359" width="10.9" style="1448" customWidth="1"/>
    <col min="3360" max="3365" width="10.1" style="1448" customWidth="1"/>
    <col min="3366" max="3366" width="10.9" style="1448" customWidth="1"/>
    <col min="3367" max="3583" width="9" style="1448"/>
    <col min="3584" max="3584" width="16" style="1448" customWidth="1"/>
    <col min="3585" max="3585" width="9.1" style="1448" customWidth="1"/>
    <col min="3586" max="3591" width="10.9" style="1448" customWidth="1"/>
    <col min="3592" max="3597" width="10.1" style="1448" customWidth="1"/>
    <col min="3598" max="3603" width="10.9" style="1448" customWidth="1"/>
    <col min="3604" max="3609" width="10.1" style="1448" customWidth="1"/>
    <col min="3610" max="3615" width="10.9" style="1448" customWidth="1"/>
    <col min="3616" max="3621" width="10.1" style="1448" customWidth="1"/>
    <col min="3622" max="3622" width="10.9" style="1448" customWidth="1"/>
    <col min="3623" max="3839" width="9" style="1448"/>
    <col min="3840" max="3840" width="16" style="1448" customWidth="1"/>
    <col min="3841" max="3841" width="9.1" style="1448" customWidth="1"/>
    <col min="3842" max="3847" width="10.9" style="1448" customWidth="1"/>
    <col min="3848" max="3853" width="10.1" style="1448" customWidth="1"/>
    <col min="3854" max="3859" width="10.9" style="1448" customWidth="1"/>
    <col min="3860" max="3865" width="10.1" style="1448" customWidth="1"/>
    <col min="3866" max="3871" width="10.9" style="1448" customWidth="1"/>
    <col min="3872" max="3877" width="10.1" style="1448" customWidth="1"/>
    <col min="3878" max="3878" width="10.9" style="1448" customWidth="1"/>
    <col min="3879" max="4095" width="9" style="1448"/>
    <col min="4096" max="4096" width="16" style="1448" customWidth="1"/>
    <col min="4097" max="4097" width="9.1" style="1448" customWidth="1"/>
    <col min="4098" max="4103" width="10.9" style="1448" customWidth="1"/>
    <col min="4104" max="4109" width="10.1" style="1448" customWidth="1"/>
    <col min="4110" max="4115" width="10.9" style="1448" customWidth="1"/>
    <col min="4116" max="4121" width="10.1" style="1448" customWidth="1"/>
    <col min="4122" max="4127" width="10.9" style="1448" customWidth="1"/>
    <col min="4128" max="4133" width="10.1" style="1448" customWidth="1"/>
    <col min="4134" max="4134" width="10.9" style="1448" customWidth="1"/>
    <col min="4135" max="4351" width="9" style="1448"/>
    <col min="4352" max="4352" width="16" style="1448" customWidth="1"/>
    <col min="4353" max="4353" width="9.1" style="1448" customWidth="1"/>
    <col min="4354" max="4359" width="10.9" style="1448" customWidth="1"/>
    <col min="4360" max="4365" width="10.1" style="1448" customWidth="1"/>
    <col min="4366" max="4371" width="10.9" style="1448" customWidth="1"/>
    <col min="4372" max="4377" width="10.1" style="1448" customWidth="1"/>
    <col min="4378" max="4383" width="10.9" style="1448" customWidth="1"/>
    <col min="4384" max="4389" width="10.1" style="1448" customWidth="1"/>
    <col min="4390" max="4390" width="10.9" style="1448" customWidth="1"/>
    <col min="4391" max="4607" width="9" style="1448"/>
    <col min="4608" max="4608" width="16" style="1448" customWidth="1"/>
    <col min="4609" max="4609" width="9.1" style="1448" customWidth="1"/>
    <col min="4610" max="4615" width="10.9" style="1448" customWidth="1"/>
    <col min="4616" max="4621" width="10.1" style="1448" customWidth="1"/>
    <col min="4622" max="4627" width="10.9" style="1448" customWidth="1"/>
    <col min="4628" max="4633" width="10.1" style="1448" customWidth="1"/>
    <col min="4634" max="4639" width="10.9" style="1448" customWidth="1"/>
    <col min="4640" max="4645" width="10.1" style="1448" customWidth="1"/>
    <col min="4646" max="4646" width="10.9" style="1448" customWidth="1"/>
    <col min="4647" max="4863" width="9" style="1448"/>
    <col min="4864" max="4864" width="16" style="1448" customWidth="1"/>
    <col min="4865" max="4865" width="9.1" style="1448" customWidth="1"/>
    <col min="4866" max="4871" width="10.9" style="1448" customWidth="1"/>
    <col min="4872" max="4877" width="10.1" style="1448" customWidth="1"/>
    <col min="4878" max="4883" width="10.9" style="1448" customWidth="1"/>
    <col min="4884" max="4889" width="10.1" style="1448" customWidth="1"/>
    <col min="4890" max="4895" width="10.9" style="1448" customWidth="1"/>
    <col min="4896" max="4901" width="10.1" style="1448" customWidth="1"/>
    <col min="4902" max="4902" width="10.9" style="1448" customWidth="1"/>
    <col min="4903" max="5119" width="9" style="1448"/>
    <col min="5120" max="5120" width="16" style="1448" customWidth="1"/>
    <col min="5121" max="5121" width="9.1" style="1448" customWidth="1"/>
    <col min="5122" max="5127" width="10.9" style="1448" customWidth="1"/>
    <col min="5128" max="5133" width="10.1" style="1448" customWidth="1"/>
    <col min="5134" max="5139" width="10.9" style="1448" customWidth="1"/>
    <col min="5140" max="5145" width="10.1" style="1448" customWidth="1"/>
    <col min="5146" max="5151" width="10.9" style="1448" customWidth="1"/>
    <col min="5152" max="5157" width="10.1" style="1448" customWidth="1"/>
    <col min="5158" max="5158" width="10.9" style="1448" customWidth="1"/>
    <col min="5159" max="5375" width="9" style="1448"/>
    <col min="5376" max="5376" width="16" style="1448" customWidth="1"/>
    <col min="5377" max="5377" width="9.1" style="1448" customWidth="1"/>
    <col min="5378" max="5383" width="10.9" style="1448" customWidth="1"/>
    <col min="5384" max="5389" width="10.1" style="1448" customWidth="1"/>
    <col min="5390" max="5395" width="10.9" style="1448" customWidth="1"/>
    <col min="5396" max="5401" width="10.1" style="1448" customWidth="1"/>
    <col min="5402" max="5407" width="10.9" style="1448" customWidth="1"/>
    <col min="5408" max="5413" width="10.1" style="1448" customWidth="1"/>
    <col min="5414" max="5414" width="10.9" style="1448" customWidth="1"/>
    <col min="5415" max="5631" width="9" style="1448"/>
    <col min="5632" max="5632" width="16" style="1448" customWidth="1"/>
    <col min="5633" max="5633" width="9.1" style="1448" customWidth="1"/>
    <col min="5634" max="5639" width="10.9" style="1448" customWidth="1"/>
    <col min="5640" max="5645" width="10.1" style="1448" customWidth="1"/>
    <col min="5646" max="5651" width="10.9" style="1448" customWidth="1"/>
    <col min="5652" max="5657" width="10.1" style="1448" customWidth="1"/>
    <col min="5658" max="5663" width="10.9" style="1448" customWidth="1"/>
    <col min="5664" max="5669" width="10.1" style="1448" customWidth="1"/>
    <col min="5670" max="5670" width="10.9" style="1448" customWidth="1"/>
    <col min="5671" max="5887" width="9" style="1448"/>
    <col min="5888" max="5888" width="16" style="1448" customWidth="1"/>
    <col min="5889" max="5889" width="9.1" style="1448" customWidth="1"/>
    <col min="5890" max="5895" width="10.9" style="1448" customWidth="1"/>
    <col min="5896" max="5901" width="10.1" style="1448" customWidth="1"/>
    <col min="5902" max="5907" width="10.9" style="1448" customWidth="1"/>
    <col min="5908" max="5913" width="10.1" style="1448" customWidth="1"/>
    <col min="5914" max="5919" width="10.9" style="1448" customWidth="1"/>
    <col min="5920" max="5925" width="10.1" style="1448" customWidth="1"/>
    <col min="5926" max="5926" width="10.9" style="1448" customWidth="1"/>
    <col min="5927" max="6143" width="9" style="1448"/>
    <col min="6144" max="6144" width="16" style="1448" customWidth="1"/>
    <col min="6145" max="6145" width="9.1" style="1448" customWidth="1"/>
    <col min="6146" max="6151" width="10.9" style="1448" customWidth="1"/>
    <col min="6152" max="6157" width="10.1" style="1448" customWidth="1"/>
    <col min="6158" max="6163" width="10.9" style="1448" customWidth="1"/>
    <col min="6164" max="6169" width="10.1" style="1448" customWidth="1"/>
    <col min="6170" max="6175" width="10.9" style="1448" customWidth="1"/>
    <col min="6176" max="6181" width="10.1" style="1448" customWidth="1"/>
    <col min="6182" max="6182" width="10.9" style="1448" customWidth="1"/>
    <col min="6183" max="6399" width="9" style="1448"/>
    <col min="6400" max="6400" width="16" style="1448" customWidth="1"/>
    <col min="6401" max="6401" width="9.1" style="1448" customWidth="1"/>
    <col min="6402" max="6407" width="10.9" style="1448" customWidth="1"/>
    <col min="6408" max="6413" width="10.1" style="1448" customWidth="1"/>
    <col min="6414" max="6419" width="10.9" style="1448" customWidth="1"/>
    <col min="6420" max="6425" width="10.1" style="1448" customWidth="1"/>
    <col min="6426" max="6431" width="10.9" style="1448" customWidth="1"/>
    <col min="6432" max="6437" width="10.1" style="1448" customWidth="1"/>
    <col min="6438" max="6438" width="10.9" style="1448" customWidth="1"/>
    <col min="6439" max="6655" width="9" style="1448"/>
    <col min="6656" max="6656" width="16" style="1448" customWidth="1"/>
    <col min="6657" max="6657" width="9.1" style="1448" customWidth="1"/>
    <col min="6658" max="6663" width="10.9" style="1448" customWidth="1"/>
    <col min="6664" max="6669" width="10.1" style="1448" customWidth="1"/>
    <col min="6670" max="6675" width="10.9" style="1448" customWidth="1"/>
    <col min="6676" max="6681" width="10.1" style="1448" customWidth="1"/>
    <col min="6682" max="6687" width="10.9" style="1448" customWidth="1"/>
    <col min="6688" max="6693" width="10.1" style="1448" customWidth="1"/>
    <col min="6694" max="6694" width="10.9" style="1448" customWidth="1"/>
    <col min="6695" max="6911" width="9" style="1448"/>
    <col min="6912" max="6912" width="16" style="1448" customWidth="1"/>
    <col min="6913" max="6913" width="9.1" style="1448" customWidth="1"/>
    <col min="6914" max="6919" width="10.9" style="1448" customWidth="1"/>
    <col min="6920" max="6925" width="10.1" style="1448" customWidth="1"/>
    <col min="6926" max="6931" width="10.9" style="1448" customWidth="1"/>
    <col min="6932" max="6937" width="10.1" style="1448" customWidth="1"/>
    <col min="6938" max="6943" width="10.9" style="1448" customWidth="1"/>
    <col min="6944" max="6949" width="10.1" style="1448" customWidth="1"/>
    <col min="6950" max="6950" width="10.9" style="1448" customWidth="1"/>
    <col min="6951" max="7167" width="9" style="1448"/>
    <col min="7168" max="7168" width="16" style="1448" customWidth="1"/>
    <col min="7169" max="7169" width="9.1" style="1448" customWidth="1"/>
    <col min="7170" max="7175" width="10.9" style="1448" customWidth="1"/>
    <col min="7176" max="7181" width="10.1" style="1448" customWidth="1"/>
    <col min="7182" max="7187" width="10.9" style="1448" customWidth="1"/>
    <col min="7188" max="7193" width="10.1" style="1448" customWidth="1"/>
    <col min="7194" max="7199" width="10.9" style="1448" customWidth="1"/>
    <col min="7200" max="7205" width="10.1" style="1448" customWidth="1"/>
    <col min="7206" max="7206" width="10.9" style="1448" customWidth="1"/>
    <col min="7207" max="7423" width="9" style="1448"/>
    <col min="7424" max="7424" width="16" style="1448" customWidth="1"/>
    <col min="7425" max="7425" width="9.1" style="1448" customWidth="1"/>
    <col min="7426" max="7431" width="10.9" style="1448" customWidth="1"/>
    <col min="7432" max="7437" width="10.1" style="1448" customWidth="1"/>
    <col min="7438" max="7443" width="10.9" style="1448" customWidth="1"/>
    <col min="7444" max="7449" width="10.1" style="1448" customWidth="1"/>
    <col min="7450" max="7455" width="10.9" style="1448" customWidth="1"/>
    <col min="7456" max="7461" width="10.1" style="1448" customWidth="1"/>
    <col min="7462" max="7462" width="10.9" style="1448" customWidth="1"/>
    <col min="7463" max="7679" width="9" style="1448"/>
    <col min="7680" max="7680" width="16" style="1448" customWidth="1"/>
    <col min="7681" max="7681" width="9.1" style="1448" customWidth="1"/>
    <col min="7682" max="7687" width="10.9" style="1448" customWidth="1"/>
    <col min="7688" max="7693" width="10.1" style="1448" customWidth="1"/>
    <col min="7694" max="7699" width="10.9" style="1448" customWidth="1"/>
    <col min="7700" max="7705" width="10.1" style="1448" customWidth="1"/>
    <col min="7706" max="7711" width="10.9" style="1448" customWidth="1"/>
    <col min="7712" max="7717" width="10.1" style="1448" customWidth="1"/>
    <col min="7718" max="7718" width="10.9" style="1448" customWidth="1"/>
    <col min="7719" max="7935" width="9" style="1448"/>
    <col min="7936" max="7936" width="16" style="1448" customWidth="1"/>
    <col min="7937" max="7937" width="9.1" style="1448" customWidth="1"/>
    <col min="7938" max="7943" width="10.9" style="1448" customWidth="1"/>
    <col min="7944" max="7949" width="10.1" style="1448" customWidth="1"/>
    <col min="7950" max="7955" width="10.9" style="1448" customWidth="1"/>
    <col min="7956" max="7961" width="10.1" style="1448" customWidth="1"/>
    <col min="7962" max="7967" width="10.9" style="1448" customWidth="1"/>
    <col min="7968" max="7973" width="10.1" style="1448" customWidth="1"/>
    <col min="7974" max="7974" width="10.9" style="1448" customWidth="1"/>
    <col min="7975" max="8191" width="9" style="1448"/>
    <col min="8192" max="8192" width="16" style="1448" customWidth="1"/>
    <col min="8193" max="8193" width="9.1" style="1448" customWidth="1"/>
    <col min="8194" max="8199" width="10.9" style="1448" customWidth="1"/>
    <col min="8200" max="8205" width="10.1" style="1448" customWidth="1"/>
    <col min="8206" max="8211" width="10.9" style="1448" customWidth="1"/>
    <col min="8212" max="8217" width="10.1" style="1448" customWidth="1"/>
    <col min="8218" max="8223" width="10.9" style="1448" customWidth="1"/>
    <col min="8224" max="8229" width="10.1" style="1448" customWidth="1"/>
    <col min="8230" max="8230" width="10.9" style="1448" customWidth="1"/>
    <col min="8231" max="8447" width="9" style="1448"/>
    <col min="8448" max="8448" width="16" style="1448" customWidth="1"/>
    <col min="8449" max="8449" width="9.1" style="1448" customWidth="1"/>
    <col min="8450" max="8455" width="10.9" style="1448" customWidth="1"/>
    <col min="8456" max="8461" width="10.1" style="1448" customWidth="1"/>
    <col min="8462" max="8467" width="10.9" style="1448" customWidth="1"/>
    <col min="8468" max="8473" width="10.1" style="1448" customWidth="1"/>
    <col min="8474" max="8479" width="10.9" style="1448" customWidth="1"/>
    <col min="8480" max="8485" width="10.1" style="1448" customWidth="1"/>
    <col min="8486" max="8486" width="10.9" style="1448" customWidth="1"/>
    <col min="8487" max="8703" width="9" style="1448"/>
    <col min="8704" max="8704" width="16" style="1448" customWidth="1"/>
    <col min="8705" max="8705" width="9.1" style="1448" customWidth="1"/>
    <col min="8706" max="8711" width="10.9" style="1448" customWidth="1"/>
    <col min="8712" max="8717" width="10.1" style="1448" customWidth="1"/>
    <col min="8718" max="8723" width="10.9" style="1448" customWidth="1"/>
    <col min="8724" max="8729" width="10.1" style="1448" customWidth="1"/>
    <col min="8730" max="8735" width="10.9" style="1448" customWidth="1"/>
    <col min="8736" max="8741" width="10.1" style="1448" customWidth="1"/>
    <col min="8742" max="8742" width="10.9" style="1448" customWidth="1"/>
    <col min="8743" max="8959" width="9" style="1448"/>
    <col min="8960" max="8960" width="16" style="1448" customWidth="1"/>
    <col min="8961" max="8961" width="9.1" style="1448" customWidth="1"/>
    <col min="8962" max="8967" width="10.9" style="1448" customWidth="1"/>
    <col min="8968" max="8973" width="10.1" style="1448" customWidth="1"/>
    <col min="8974" max="8979" width="10.9" style="1448" customWidth="1"/>
    <col min="8980" max="8985" width="10.1" style="1448" customWidth="1"/>
    <col min="8986" max="8991" width="10.9" style="1448" customWidth="1"/>
    <col min="8992" max="8997" width="10.1" style="1448" customWidth="1"/>
    <col min="8998" max="8998" width="10.9" style="1448" customWidth="1"/>
    <col min="8999" max="9215" width="9" style="1448"/>
    <col min="9216" max="9216" width="16" style="1448" customWidth="1"/>
    <col min="9217" max="9217" width="9.1" style="1448" customWidth="1"/>
    <col min="9218" max="9223" width="10.9" style="1448" customWidth="1"/>
    <col min="9224" max="9229" width="10.1" style="1448" customWidth="1"/>
    <col min="9230" max="9235" width="10.9" style="1448" customWidth="1"/>
    <col min="9236" max="9241" width="10.1" style="1448" customWidth="1"/>
    <col min="9242" max="9247" width="10.9" style="1448" customWidth="1"/>
    <col min="9248" max="9253" width="10.1" style="1448" customWidth="1"/>
    <col min="9254" max="9254" width="10.9" style="1448" customWidth="1"/>
    <col min="9255" max="9471" width="9" style="1448"/>
    <col min="9472" max="9472" width="16" style="1448" customWidth="1"/>
    <col min="9473" max="9473" width="9.1" style="1448" customWidth="1"/>
    <col min="9474" max="9479" width="10.9" style="1448" customWidth="1"/>
    <col min="9480" max="9485" width="10.1" style="1448" customWidth="1"/>
    <col min="9486" max="9491" width="10.9" style="1448" customWidth="1"/>
    <col min="9492" max="9497" width="10.1" style="1448" customWidth="1"/>
    <col min="9498" max="9503" width="10.9" style="1448" customWidth="1"/>
    <col min="9504" max="9509" width="10.1" style="1448" customWidth="1"/>
    <col min="9510" max="9510" width="10.9" style="1448" customWidth="1"/>
    <col min="9511" max="9727" width="9" style="1448"/>
    <col min="9728" max="9728" width="16" style="1448" customWidth="1"/>
    <col min="9729" max="9729" width="9.1" style="1448" customWidth="1"/>
    <col min="9730" max="9735" width="10.9" style="1448" customWidth="1"/>
    <col min="9736" max="9741" width="10.1" style="1448" customWidth="1"/>
    <col min="9742" max="9747" width="10.9" style="1448" customWidth="1"/>
    <col min="9748" max="9753" width="10.1" style="1448" customWidth="1"/>
    <col min="9754" max="9759" width="10.9" style="1448" customWidth="1"/>
    <col min="9760" max="9765" width="10.1" style="1448" customWidth="1"/>
    <col min="9766" max="9766" width="10.9" style="1448" customWidth="1"/>
    <col min="9767" max="9983" width="9" style="1448"/>
    <col min="9984" max="9984" width="16" style="1448" customWidth="1"/>
    <col min="9985" max="9985" width="9.1" style="1448" customWidth="1"/>
    <col min="9986" max="9991" width="10.9" style="1448" customWidth="1"/>
    <col min="9992" max="9997" width="10.1" style="1448" customWidth="1"/>
    <col min="9998" max="10003" width="10.9" style="1448" customWidth="1"/>
    <col min="10004" max="10009" width="10.1" style="1448" customWidth="1"/>
    <col min="10010" max="10015" width="10.9" style="1448" customWidth="1"/>
    <col min="10016" max="10021" width="10.1" style="1448" customWidth="1"/>
    <col min="10022" max="10022" width="10.9" style="1448" customWidth="1"/>
    <col min="10023" max="10239" width="9" style="1448"/>
    <col min="10240" max="10240" width="16" style="1448" customWidth="1"/>
    <col min="10241" max="10241" width="9.1" style="1448" customWidth="1"/>
    <col min="10242" max="10247" width="10.9" style="1448" customWidth="1"/>
    <col min="10248" max="10253" width="10.1" style="1448" customWidth="1"/>
    <col min="10254" max="10259" width="10.9" style="1448" customWidth="1"/>
    <col min="10260" max="10265" width="10.1" style="1448" customWidth="1"/>
    <col min="10266" max="10271" width="10.9" style="1448" customWidth="1"/>
    <col min="10272" max="10277" width="10.1" style="1448" customWidth="1"/>
    <col min="10278" max="10278" width="10.9" style="1448" customWidth="1"/>
    <col min="10279" max="10495" width="9" style="1448"/>
    <col min="10496" max="10496" width="16" style="1448" customWidth="1"/>
    <col min="10497" max="10497" width="9.1" style="1448" customWidth="1"/>
    <col min="10498" max="10503" width="10.9" style="1448" customWidth="1"/>
    <col min="10504" max="10509" width="10.1" style="1448" customWidth="1"/>
    <col min="10510" max="10515" width="10.9" style="1448" customWidth="1"/>
    <col min="10516" max="10521" width="10.1" style="1448" customWidth="1"/>
    <col min="10522" max="10527" width="10.9" style="1448" customWidth="1"/>
    <col min="10528" max="10533" width="10.1" style="1448" customWidth="1"/>
    <col min="10534" max="10534" width="10.9" style="1448" customWidth="1"/>
    <col min="10535" max="10751" width="9" style="1448"/>
    <col min="10752" max="10752" width="16" style="1448" customWidth="1"/>
    <col min="10753" max="10753" width="9.1" style="1448" customWidth="1"/>
    <col min="10754" max="10759" width="10.9" style="1448" customWidth="1"/>
    <col min="10760" max="10765" width="10.1" style="1448" customWidth="1"/>
    <col min="10766" max="10771" width="10.9" style="1448" customWidth="1"/>
    <col min="10772" max="10777" width="10.1" style="1448" customWidth="1"/>
    <col min="10778" max="10783" width="10.9" style="1448" customWidth="1"/>
    <col min="10784" max="10789" width="10.1" style="1448" customWidth="1"/>
    <col min="10790" max="10790" width="10.9" style="1448" customWidth="1"/>
    <col min="10791" max="11007" width="9" style="1448"/>
    <col min="11008" max="11008" width="16" style="1448" customWidth="1"/>
    <col min="11009" max="11009" width="9.1" style="1448" customWidth="1"/>
    <col min="11010" max="11015" width="10.9" style="1448" customWidth="1"/>
    <col min="11016" max="11021" width="10.1" style="1448" customWidth="1"/>
    <col min="11022" max="11027" width="10.9" style="1448" customWidth="1"/>
    <col min="11028" max="11033" width="10.1" style="1448" customWidth="1"/>
    <col min="11034" max="11039" width="10.9" style="1448" customWidth="1"/>
    <col min="11040" max="11045" width="10.1" style="1448" customWidth="1"/>
    <col min="11046" max="11046" width="10.9" style="1448" customWidth="1"/>
    <col min="11047" max="11263" width="9" style="1448"/>
    <col min="11264" max="11264" width="16" style="1448" customWidth="1"/>
    <col min="11265" max="11265" width="9.1" style="1448" customWidth="1"/>
    <col min="11266" max="11271" width="10.9" style="1448" customWidth="1"/>
    <col min="11272" max="11277" width="10.1" style="1448" customWidth="1"/>
    <col min="11278" max="11283" width="10.9" style="1448" customWidth="1"/>
    <col min="11284" max="11289" width="10.1" style="1448" customWidth="1"/>
    <col min="11290" max="11295" width="10.9" style="1448" customWidth="1"/>
    <col min="11296" max="11301" width="10.1" style="1448" customWidth="1"/>
    <col min="11302" max="11302" width="10.9" style="1448" customWidth="1"/>
    <col min="11303" max="11519" width="9" style="1448"/>
    <col min="11520" max="11520" width="16" style="1448" customWidth="1"/>
    <col min="11521" max="11521" width="9.1" style="1448" customWidth="1"/>
    <col min="11522" max="11527" width="10.9" style="1448" customWidth="1"/>
    <col min="11528" max="11533" width="10.1" style="1448" customWidth="1"/>
    <col min="11534" max="11539" width="10.9" style="1448" customWidth="1"/>
    <col min="11540" max="11545" width="10.1" style="1448" customWidth="1"/>
    <col min="11546" max="11551" width="10.9" style="1448" customWidth="1"/>
    <col min="11552" max="11557" width="10.1" style="1448" customWidth="1"/>
    <col min="11558" max="11558" width="10.9" style="1448" customWidth="1"/>
    <col min="11559" max="11775" width="9" style="1448"/>
    <col min="11776" max="11776" width="16" style="1448" customWidth="1"/>
    <col min="11777" max="11777" width="9.1" style="1448" customWidth="1"/>
    <col min="11778" max="11783" width="10.9" style="1448" customWidth="1"/>
    <col min="11784" max="11789" width="10.1" style="1448" customWidth="1"/>
    <col min="11790" max="11795" width="10.9" style="1448" customWidth="1"/>
    <col min="11796" max="11801" width="10.1" style="1448" customWidth="1"/>
    <col min="11802" max="11807" width="10.9" style="1448" customWidth="1"/>
    <col min="11808" max="11813" width="10.1" style="1448" customWidth="1"/>
    <col min="11814" max="11814" width="10.9" style="1448" customWidth="1"/>
    <col min="11815" max="12031" width="9" style="1448"/>
    <col min="12032" max="12032" width="16" style="1448" customWidth="1"/>
    <col min="12033" max="12033" width="9.1" style="1448" customWidth="1"/>
    <col min="12034" max="12039" width="10.9" style="1448" customWidth="1"/>
    <col min="12040" max="12045" width="10.1" style="1448" customWidth="1"/>
    <col min="12046" max="12051" width="10.9" style="1448" customWidth="1"/>
    <col min="12052" max="12057" width="10.1" style="1448" customWidth="1"/>
    <col min="12058" max="12063" width="10.9" style="1448" customWidth="1"/>
    <col min="12064" max="12069" width="10.1" style="1448" customWidth="1"/>
    <col min="12070" max="12070" width="10.9" style="1448" customWidth="1"/>
    <col min="12071" max="12287" width="9" style="1448"/>
    <col min="12288" max="12288" width="16" style="1448" customWidth="1"/>
    <col min="12289" max="12289" width="9.1" style="1448" customWidth="1"/>
    <col min="12290" max="12295" width="10.9" style="1448" customWidth="1"/>
    <col min="12296" max="12301" width="10.1" style="1448" customWidth="1"/>
    <col min="12302" max="12307" width="10.9" style="1448" customWidth="1"/>
    <col min="12308" max="12313" width="10.1" style="1448" customWidth="1"/>
    <col min="12314" max="12319" width="10.9" style="1448" customWidth="1"/>
    <col min="12320" max="12325" width="10.1" style="1448" customWidth="1"/>
    <col min="12326" max="12326" width="10.9" style="1448" customWidth="1"/>
    <col min="12327" max="12543" width="9" style="1448"/>
    <col min="12544" max="12544" width="16" style="1448" customWidth="1"/>
    <col min="12545" max="12545" width="9.1" style="1448" customWidth="1"/>
    <col min="12546" max="12551" width="10.9" style="1448" customWidth="1"/>
    <col min="12552" max="12557" width="10.1" style="1448" customWidth="1"/>
    <col min="12558" max="12563" width="10.9" style="1448" customWidth="1"/>
    <col min="12564" max="12569" width="10.1" style="1448" customWidth="1"/>
    <col min="12570" max="12575" width="10.9" style="1448" customWidth="1"/>
    <col min="12576" max="12581" width="10.1" style="1448" customWidth="1"/>
    <col min="12582" max="12582" width="10.9" style="1448" customWidth="1"/>
    <col min="12583" max="12799" width="9" style="1448"/>
    <col min="12800" max="12800" width="16" style="1448" customWidth="1"/>
    <col min="12801" max="12801" width="9.1" style="1448" customWidth="1"/>
    <col min="12802" max="12807" width="10.9" style="1448" customWidth="1"/>
    <col min="12808" max="12813" width="10.1" style="1448" customWidth="1"/>
    <col min="12814" max="12819" width="10.9" style="1448" customWidth="1"/>
    <col min="12820" max="12825" width="10.1" style="1448" customWidth="1"/>
    <col min="12826" max="12831" width="10.9" style="1448" customWidth="1"/>
    <col min="12832" max="12837" width="10.1" style="1448" customWidth="1"/>
    <col min="12838" max="12838" width="10.9" style="1448" customWidth="1"/>
    <col min="12839" max="13055" width="9" style="1448"/>
    <col min="13056" max="13056" width="16" style="1448" customWidth="1"/>
    <col min="13057" max="13057" width="9.1" style="1448" customWidth="1"/>
    <col min="13058" max="13063" width="10.9" style="1448" customWidth="1"/>
    <col min="13064" max="13069" width="10.1" style="1448" customWidth="1"/>
    <col min="13070" max="13075" width="10.9" style="1448" customWidth="1"/>
    <col min="13076" max="13081" width="10.1" style="1448" customWidth="1"/>
    <col min="13082" max="13087" width="10.9" style="1448" customWidth="1"/>
    <col min="13088" max="13093" width="10.1" style="1448" customWidth="1"/>
    <col min="13094" max="13094" width="10.9" style="1448" customWidth="1"/>
    <col min="13095" max="13311" width="9" style="1448"/>
    <col min="13312" max="13312" width="16" style="1448" customWidth="1"/>
    <col min="13313" max="13313" width="9.1" style="1448" customWidth="1"/>
    <col min="13314" max="13319" width="10.9" style="1448" customWidth="1"/>
    <col min="13320" max="13325" width="10.1" style="1448" customWidth="1"/>
    <col min="13326" max="13331" width="10.9" style="1448" customWidth="1"/>
    <col min="13332" max="13337" width="10.1" style="1448" customWidth="1"/>
    <col min="13338" max="13343" width="10.9" style="1448" customWidth="1"/>
    <col min="13344" max="13349" width="10.1" style="1448" customWidth="1"/>
    <col min="13350" max="13350" width="10.9" style="1448" customWidth="1"/>
    <col min="13351" max="13567" width="9" style="1448"/>
    <col min="13568" max="13568" width="16" style="1448" customWidth="1"/>
    <col min="13569" max="13569" width="9.1" style="1448" customWidth="1"/>
    <col min="13570" max="13575" width="10.9" style="1448" customWidth="1"/>
    <col min="13576" max="13581" width="10.1" style="1448" customWidth="1"/>
    <col min="13582" max="13587" width="10.9" style="1448" customWidth="1"/>
    <col min="13588" max="13593" width="10.1" style="1448" customWidth="1"/>
    <col min="13594" max="13599" width="10.9" style="1448" customWidth="1"/>
    <col min="13600" max="13605" width="10.1" style="1448" customWidth="1"/>
    <col min="13606" max="13606" width="10.9" style="1448" customWidth="1"/>
    <col min="13607" max="13823" width="9" style="1448"/>
    <col min="13824" max="13824" width="16" style="1448" customWidth="1"/>
    <col min="13825" max="13825" width="9.1" style="1448" customWidth="1"/>
    <col min="13826" max="13831" width="10.9" style="1448" customWidth="1"/>
    <col min="13832" max="13837" width="10.1" style="1448" customWidth="1"/>
    <col min="13838" max="13843" width="10.9" style="1448" customWidth="1"/>
    <col min="13844" max="13849" width="10.1" style="1448" customWidth="1"/>
    <col min="13850" max="13855" width="10.9" style="1448" customWidth="1"/>
    <col min="13856" max="13861" width="10.1" style="1448" customWidth="1"/>
    <col min="13862" max="13862" width="10.9" style="1448" customWidth="1"/>
    <col min="13863" max="14079" width="9" style="1448"/>
    <col min="14080" max="14080" width="16" style="1448" customWidth="1"/>
    <col min="14081" max="14081" width="9.1" style="1448" customWidth="1"/>
    <col min="14082" max="14087" width="10.9" style="1448" customWidth="1"/>
    <col min="14088" max="14093" width="10.1" style="1448" customWidth="1"/>
    <col min="14094" max="14099" width="10.9" style="1448" customWidth="1"/>
    <col min="14100" max="14105" width="10.1" style="1448" customWidth="1"/>
    <col min="14106" max="14111" width="10.9" style="1448" customWidth="1"/>
    <col min="14112" max="14117" width="10.1" style="1448" customWidth="1"/>
    <col min="14118" max="14118" width="10.9" style="1448" customWidth="1"/>
    <col min="14119" max="14335" width="9" style="1448"/>
    <col min="14336" max="14336" width="16" style="1448" customWidth="1"/>
    <col min="14337" max="14337" width="9.1" style="1448" customWidth="1"/>
    <col min="14338" max="14343" width="10.9" style="1448" customWidth="1"/>
    <col min="14344" max="14349" width="10.1" style="1448" customWidth="1"/>
    <col min="14350" max="14355" width="10.9" style="1448" customWidth="1"/>
    <col min="14356" max="14361" width="10.1" style="1448" customWidth="1"/>
    <col min="14362" max="14367" width="10.9" style="1448" customWidth="1"/>
    <col min="14368" max="14373" width="10.1" style="1448" customWidth="1"/>
    <col min="14374" max="14374" width="10.9" style="1448" customWidth="1"/>
    <col min="14375" max="14591" width="9" style="1448"/>
    <col min="14592" max="14592" width="16" style="1448" customWidth="1"/>
    <col min="14593" max="14593" width="9.1" style="1448" customWidth="1"/>
    <col min="14594" max="14599" width="10.9" style="1448" customWidth="1"/>
    <col min="14600" max="14605" width="10.1" style="1448" customWidth="1"/>
    <col min="14606" max="14611" width="10.9" style="1448" customWidth="1"/>
    <col min="14612" max="14617" width="10.1" style="1448" customWidth="1"/>
    <col min="14618" max="14623" width="10.9" style="1448" customWidth="1"/>
    <col min="14624" max="14629" width="10.1" style="1448" customWidth="1"/>
    <col min="14630" max="14630" width="10.9" style="1448" customWidth="1"/>
    <col min="14631" max="14847" width="9" style="1448"/>
    <col min="14848" max="14848" width="16" style="1448" customWidth="1"/>
    <col min="14849" max="14849" width="9.1" style="1448" customWidth="1"/>
    <col min="14850" max="14855" width="10.9" style="1448" customWidth="1"/>
    <col min="14856" max="14861" width="10.1" style="1448" customWidth="1"/>
    <col min="14862" max="14867" width="10.9" style="1448" customWidth="1"/>
    <col min="14868" max="14873" width="10.1" style="1448" customWidth="1"/>
    <col min="14874" max="14879" width="10.9" style="1448" customWidth="1"/>
    <col min="14880" max="14885" width="10.1" style="1448" customWidth="1"/>
    <col min="14886" max="14886" width="10.9" style="1448" customWidth="1"/>
    <col min="14887" max="15103" width="9" style="1448"/>
    <col min="15104" max="15104" width="16" style="1448" customWidth="1"/>
    <col min="15105" max="15105" width="9.1" style="1448" customWidth="1"/>
    <col min="15106" max="15111" width="10.9" style="1448" customWidth="1"/>
    <col min="15112" max="15117" width="10.1" style="1448" customWidth="1"/>
    <col min="15118" max="15123" width="10.9" style="1448" customWidth="1"/>
    <col min="15124" max="15129" width="10.1" style="1448" customWidth="1"/>
    <col min="15130" max="15135" width="10.9" style="1448" customWidth="1"/>
    <col min="15136" max="15141" width="10.1" style="1448" customWidth="1"/>
    <col min="15142" max="15142" width="10.9" style="1448" customWidth="1"/>
    <col min="15143" max="15359" width="9" style="1448"/>
    <col min="15360" max="15360" width="16" style="1448" customWidth="1"/>
    <col min="15361" max="15361" width="9.1" style="1448" customWidth="1"/>
    <col min="15362" max="15367" width="10.9" style="1448" customWidth="1"/>
    <col min="15368" max="15373" width="10.1" style="1448" customWidth="1"/>
    <col min="15374" max="15379" width="10.9" style="1448" customWidth="1"/>
    <col min="15380" max="15385" width="10.1" style="1448" customWidth="1"/>
    <col min="15386" max="15391" width="10.9" style="1448" customWidth="1"/>
    <col min="15392" max="15397" width="10.1" style="1448" customWidth="1"/>
    <col min="15398" max="15398" width="10.9" style="1448" customWidth="1"/>
    <col min="15399" max="15615" width="9" style="1448"/>
    <col min="15616" max="15616" width="16" style="1448" customWidth="1"/>
    <col min="15617" max="15617" width="9.1" style="1448" customWidth="1"/>
    <col min="15618" max="15623" width="10.9" style="1448" customWidth="1"/>
    <col min="15624" max="15629" width="10.1" style="1448" customWidth="1"/>
    <col min="15630" max="15635" width="10.9" style="1448" customWidth="1"/>
    <col min="15636" max="15641" width="10.1" style="1448" customWidth="1"/>
    <col min="15642" max="15647" width="10.9" style="1448" customWidth="1"/>
    <col min="15648" max="15653" width="10.1" style="1448" customWidth="1"/>
    <col min="15654" max="15654" width="10.9" style="1448" customWidth="1"/>
    <col min="15655" max="15871" width="9" style="1448"/>
    <col min="15872" max="15872" width="16" style="1448" customWidth="1"/>
    <col min="15873" max="15873" width="9.1" style="1448" customWidth="1"/>
    <col min="15874" max="15879" width="10.9" style="1448" customWidth="1"/>
    <col min="15880" max="15885" width="10.1" style="1448" customWidth="1"/>
    <col min="15886" max="15891" width="10.9" style="1448" customWidth="1"/>
    <col min="15892" max="15897" width="10.1" style="1448" customWidth="1"/>
    <col min="15898" max="15903" width="10.9" style="1448" customWidth="1"/>
    <col min="15904" max="15909" width="10.1" style="1448" customWidth="1"/>
    <col min="15910" max="15910" width="10.9" style="1448" customWidth="1"/>
    <col min="15911" max="16127" width="9" style="1448"/>
    <col min="16128" max="16128" width="16" style="1448" customWidth="1"/>
    <col min="16129" max="16129" width="9.1" style="1448" customWidth="1"/>
    <col min="16130" max="16135" width="10.9" style="1448" customWidth="1"/>
    <col min="16136" max="16141" width="10.1" style="1448" customWidth="1"/>
    <col min="16142" max="16147" width="10.9" style="1448" customWidth="1"/>
    <col min="16148" max="16153" width="10.1" style="1448" customWidth="1"/>
    <col min="16154" max="16159" width="10.9" style="1448" customWidth="1"/>
    <col min="16160" max="16165" width="10.1" style="1448" customWidth="1"/>
    <col min="16166" max="16166" width="10.9" style="1448" customWidth="1"/>
    <col min="16167" max="16384" width="9" style="1448"/>
  </cols>
  <sheetData>
    <row r="1" s="1443" customFormat="1" spans="1:44">
      <c r="A1" s="1449" t="s">
        <v>1</v>
      </c>
      <c r="B1" s="1450" t="s">
        <v>2</v>
      </c>
      <c r="C1" s="1451" t="s">
        <v>290</v>
      </c>
      <c r="D1" s="1451" t="s">
        <v>291</v>
      </c>
      <c r="E1" s="1451" t="s">
        <v>291</v>
      </c>
      <c r="F1" s="1451" t="s">
        <v>291</v>
      </c>
      <c r="G1" s="1451" t="s">
        <v>291</v>
      </c>
      <c r="H1" s="1451" t="s">
        <v>292</v>
      </c>
      <c r="I1" s="1451" t="s">
        <v>292</v>
      </c>
      <c r="J1" s="1451" t="s">
        <v>292</v>
      </c>
      <c r="K1" s="1451" t="s">
        <v>292</v>
      </c>
      <c r="L1" s="1451" t="s">
        <v>293</v>
      </c>
      <c r="M1" s="1451" t="s">
        <v>293</v>
      </c>
      <c r="N1" s="1451" t="s">
        <v>293</v>
      </c>
      <c r="O1" s="1451" t="s">
        <v>293</v>
      </c>
      <c r="P1" s="1451" t="s">
        <v>294</v>
      </c>
      <c r="Q1" s="1451" t="s">
        <v>294</v>
      </c>
      <c r="R1" s="1451" t="s">
        <v>294</v>
      </c>
      <c r="S1" s="1451" t="s">
        <v>294</v>
      </c>
      <c r="T1" s="1451" t="s">
        <v>295</v>
      </c>
      <c r="U1" s="1451" t="s">
        <v>295</v>
      </c>
      <c r="V1" s="1451" t="s">
        <v>295</v>
      </c>
      <c r="W1" s="1451" t="s">
        <v>295</v>
      </c>
      <c r="X1" s="1451" t="s">
        <v>296</v>
      </c>
      <c r="Y1" s="1451" t="s">
        <v>296</v>
      </c>
      <c r="Z1" s="1451" t="s">
        <v>296</v>
      </c>
      <c r="AA1" s="1451" t="s">
        <v>296</v>
      </c>
      <c r="AB1" s="1451" t="s">
        <v>297</v>
      </c>
      <c r="AC1" s="1451" t="s">
        <v>297</v>
      </c>
      <c r="AD1" s="1451" t="s">
        <v>297</v>
      </c>
      <c r="AE1" s="1451" t="s">
        <v>297</v>
      </c>
      <c r="AF1" s="1451" t="s">
        <v>298</v>
      </c>
      <c r="AG1" s="1451" t="s">
        <v>298</v>
      </c>
      <c r="AH1" s="1451" t="s">
        <v>298</v>
      </c>
      <c r="AI1" s="1451" t="s">
        <v>298</v>
      </c>
      <c r="AJ1" s="1451" t="s">
        <v>299</v>
      </c>
      <c r="AK1" s="1451" t="s">
        <v>299</v>
      </c>
      <c r="AL1" s="1451" t="s">
        <v>299</v>
      </c>
      <c r="AM1" s="1451" t="s">
        <v>299</v>
      </c>
      <c r="AN1" s="1451" t="s">
        <v>300</v>
      </c>
      <c r="AO1" s="1451" t="s">
        <v>300</v>
      </c>
      <c r="AP1" s="1451" t="s">
        <v>300</v>
      </c>
      <c r="AQ1" s="1451" t="s">
        <v>300</v>
      </c>
      <c r="AR1" s="1451" t="s">
        <v>406</v>
      </c>
    </row>
    <row r="2" s="1444" customFormat="1" spans="1:44">
      <c r="A2" s="1452"/>
      <c r="B2" s="1453"/>
      <c r="C2" s="1454" t="s">
        <v>120</v>
      </c>
      <c r="D2" s="1454" t="s">
        <v>121</v>
      </c>
      <c r="E2" s="1454" t="s">
        <v>122</v>
      </c>
      <c r="F2" s="1454" t="s">
        <v>123</v>
      </c>
      <c r="G2" s="1454" t="s">
        <v>124</v>
      </c>
      <c r="H2" s="1454" t="s">
        <v>125</v>
      </c>
      <c r="I2" s="1454" t="s">
        <v>126</v>
      </c>
      <c r="J2" s="1454" t="s">
        <v>127</v>
      </c>
      <c r="K2" s="1454" t="s">
        <v>128</v>
      </c>
      <c r="L2" s="1454" t="s">
        <v>129</v>
      </c>
      <c r="M2" s="1454" t="s">
        <v>130</v>
      </c>
      <c r="N2" s="1454" t="s">
        <v>131</v>
      </c>
      <c r="O2" s="1454" t="s">
        <v>132</v>
      </c>
      <c r="P2" s="1454" t="s">
        <v>133</v>
      </c>
      <c r="Q2" s="1454" t="s">
        <v>134</v>
      </c>
      <c r="R2" s="1454" t="s">
        <v>135</v>
      </c>
      <c r="S2" s="1454" t="s">
        <v>136</v>
      </c>
      <c r="T2" s="1454" t="s">
        <v>137</v>
      </c>
      <c r="U2" s="1454" t="s">
        <v>138</v>
      </c>
      <c r="V2" s="1454" t="s">
        <v>302</v>
      </c>
      <c r="W2" s="1454" t="s">
        <v>303</v>
      </c>
      <c r="X2" s="1454" t="s">
        <v>271</v>
      </c>
      <c r="Y2" s="1454" t="s">
        <v>264</v>
      </c>
      <c r="Z2" s="1454" t="s">
        <v>304</v>
      </c>
      <c r="AA2" s="1454" t="s">
        <v>305</v>
      </c>
      <c r="AB2" s="1454" t="s">
        <v>306</v>
      </c>
      <c r="AC2" s="1454" t="s">
        <v>307</v>
      </c>
      <c r="AD2" s="1454" t="s">
        <v>308</v>
      </c>
      <c r="AE2" s="1454" t="s">
        <v>309</v>
      </c>
      <c r="AF2" s="1454" t="s">
        <v>310</v>
      </c>
      <c r="AG2" s="1454" t="s">
        <v>311</v>
      </c>
      <c r="AH2" s="1454" t="s">
        <v>312</v>
      </c>
      <c r="AI2" s="1454" t="s">
        <v>313</v>
      </c>
      <c r="AJ2" s="1454" t="s">
        <v>314</v>
      </c>
      <c r="AK2" s="1454" t="s">
        <v>315</v>
      </c>
      <c r="AL2" s="1454" t="s">
        <v>316</v>
      </c>
      <c r="AM2" s="1454" t="s">
        <v>317</v>
      </c>
      <c r="AN2" s="1454" t="s">
        <v>318</v>
      </c>
      <c r="AO2" s="1454" t="s">
        <v>319</v>
      </c>
      <c r="AP2" s="1454" t="s">
        <v>320</v>
      </c>
      <c r="AQ2" s="1454" t="s">
        <v>321</v>
      </c>
      <c r="AR2" s="1454" t="s">
        <v>407</v>
      </c>
    </row>
    <row r="3" spans="1:44">
      <c r="A3" s="1455" t="s">
        <v>240</v>
      </c>
      <c r="B3" s="1456">
        <v>204543.482386762</v>
      </c>
      <c r="C3" s="1456">
        <v>0</v>
      </c>
      <c r="D3" s="1456">
        <v>0</v>
      </c>
      <c r="E3" s="1456">
        <v>0</v>
      </c>
      <c r="F3" s="1456">
        <v>0</v>
      </c>
      <c r="G3" s="1456">
        <v>0</v>
      </c>
      <c r="H3" s="1456">
        <v>0</v>
      </c>
      <c r="I3" s="1456">
        <v>0</v>
      </c>
      <c r="J3" s="1456">
        <v>0</v>
      </c>
      <c r="K3" s="1456">
        <v>0</v>
      </c>
      <c r="L3" s="1456">
        <v>0</v>
      </c>
      <c r="M3" s="1456">
        <v>0</v>
      </c>
      <c r="N3" s="1456">
        <v>0</v>
      </c>
      <c r="O3" s="1456">
        <v>0</v>
      </c>
      <c r="P3" s="1456">
        <v>0</v>
      </c>
      <c r="Q3" s="1456">
        <v>0</v>
      </c>
      <c r="R3" s="1456">
        <v>0</v>
      </c>
      <c r="S3" s="1456">
        <v>0</v>
      </c>
      <c r="T3" s="1456">
        <v>94176.7411933811</v>
      </c>
      <c r="U3" s="1456">
        <v>0</v>
      </c>
      <c r="V3" s="1456">
        <v>0</v>
      </c>
      <c r="W3" s="1456">
        <v>0</v>
      </c>
      <c r="X3" s="1456">
        <v>110366.741193381</v>
      </c>
      <c r="Y3" s="1456">
        <v>0</v>
      </c>
      <c r="Z3" s="1456">
        <v>0</v>
      </c>
      <c r="AA3" s="1456">
        <v>0</v>
      </c>
      <c r="AB3" s="1456">
        <v>0</v>
      </c>
      <c r="AC3" s="1456">
        <v>0</v>
      </c>
      <c r="AD3" s="1456">
        <v>0</v>
      </c>
      <c r="AE3" s="1456">
        <v>0</v>
      </c>
      <c r="AF3" s="1456">
        <v>0</v>
      </c>
      <c r="AG3" s="1456">
        <v>0</v>
      </c>
      <c r="AH3" s="1456">
        <v>0</v>
      </c>
      <c r="AI3" s="1456">
        <v>0</v>
      </c>
      <c r="AJ3" s="1456">
        <v>0</v>
      </c>
      <c r="AK3" s="1456">
        <v>0</v>
      </c>
      <c r="AL3" s="1456">
        <v>0</v>
      </c>
      <c r="AM3" s="1456">
        <v>0</v>
      </c>
      <c r="AN3" s="1456">
        <v>0</v>
      </c>
      <c r="AO3" s="1456">
        <v>0</v>
      </c>
      <c r="AP3" s="1456">
        <v>0</v>
      </c>
      <c r="AQ3" s="1456">
        <v>0</v>
      </c>
      <c r="AR3" s="1456">
        <v>0</v>
      </c>
    </row>
    <row r="4" outlineLevel="1" spans="1:44">
      <c r="A4" s="1457" t="s">
        <v>50</v>
      </c>
      <c r="B4" s="1458">
        <v>94176.7411933811</v>
      </c>
      <c r="C4" s="1459">
        <v>0</v>
      </c>
      <c r="D4" s="1459">
        <v>0</v>
      </c>
      <c r="E4" s="1459">
        <v>0</v>
      </c>
      <c r="F4" s="1459">
        <v>0</v>
      </c>
      <c r="G4" s="1459">
        <v>0</v>
      </c>
      <c r="H4" s="1459">
        <v>0</v>
      </c>
      <c r="I4" s="1459">
        <v>0</v>
      </c>
      <c r="J4" s="1459">
        <v>0</v>
      </c>
      <c r="K4" s="1459">
        <v>0</v>
      </c>
      <c r="L4" s="1459">
        <v>0</v>
      </c>
      <c r="M4" s="1459">
        <v>0</v>
      </c>
      <c r="N4" s="1459">
        <v>0</v>
      </c>
      <c r="O4" s="1459">
        <v>0</v>
      </c>
      <c r="P4" s="1459">
        <v>0</v>
      </c>
      <c r="Q4" s="1459">
        <v>0</v>
      </c>
      <c r="R4" s="1459">
        <v>0</v>
      </c>
      <c r="S4" s="1459">
        <v>0</v>
      </c>
      <c r="T4" s="1459">
        <v>94176.7411933811</v>
      </c>
      <c r="U4" s="1459">
        <v>0</v>
      </c>
      <c r="V4" s="1459">
        <v>0</v>
      </c>
      <c r="W4" s="1459">
        <v>0</v>
      </c>
      <c r="X4" s="1459">
        <v>0</v>
      </c>
      <c r="Y4" s="1459">
        <v>0</v>
      </c>
      <c r="Z4" s="1459">
        <v>0</v>
      </c>
      <c r="AA4" s="1459">
        <v>0</v>
      </c>
      <c r="AB4" s="1459">
        <v>0</v>
      </c>
      <c r="AC4" s="1459">
        <v>0</v>
      </c>
      <c r="AD4" s="1459">
        <v>0</v>
      </c>
      <c r="AE4" s="1459">
        <v>0</v>
      </c>
      <c r="AF4" s="1459">
        <v>0</v>
      </c>
      <c r="AG4" s="1459">
        <v>0</v>
      </c>
      <c r="AH4" s="1459">
        <v>0</v>
      </c>
      <c r="AI4" s="1459">
        <v>0</v>
      </c>
      <c r="AJ4" s="1459">
        <v>0</v>
      </c>
      <c r="AK4" s="1459">
        <v>0</v>
      </c>
      <c r="AL4" s="1459">
        <v>0</v>
      </c>
      <c r="AM4" s="1459">
        <v>0</v>
      </c>
      <c r="AN4" s="1459">
        <v>0</v>
      </c>
      <c r="AO4" s="1459">
        <v>0</v>
      </c>
      <c r="AP4" s="1459">
        <v>0</v>
      </c>
      <c r="AQ4" s="1459">
        <v>0</v>
      </c>
      <c r="AR4" s="1459">
        <v>0</v>
      </c>
    </row>
    <row r="5" outlineLevel="1" spans="1:44">
      <c r="A5" s="1457" t="s">
        <v>52</v>
      </c>
      <c r="B5" s="1458">
        <v>97176.7411933811</v>
      </c>
      <c r="C5" s="1459">
        <v>0</v>
      </c>
      <c r="D5" s="1459">
        <v>0</v>
      </c>
      <c r="E5" s="1459">
        <v>0</v>
      </c>
      <c r="F5" s="1459">
        <v>0</v>
      </c>
      <c r="G5" s="1459">
        <v>0</v>
      </c>
      <c r="H5" s="1459">
        <v>0</v>
      </c>
      <c r="I5" s="1459">
        <v>0</v>
      </c>
      <c r="J5" s="1459">
        <v>0</v>
      </c>
      <c r="K5" s="1459">
        <v>0</v>
      </c>
      <c r="L5" s="1459">
        <v>0</v>
      </c>
      <c r="M5" s="1459">
        <v>0</v>
      </c>
      <c r="N5" s="1459">
        <v>0</v>
      </c>
      <c r="O5" s="1459">
        <v>0</v>
      </c>
      <c r="P5" s="1459">
        <v>0</v>
      </c>
      <c r="Q5" s="1459">
        <v>0</v>
      </c>
      <c r="R5" s="1459">
        <v>0</v>
      </c>
      <c r="S5" s="1459">
        <v>0</v>
      </c>
      <c r="T5" s="1459">
        <v>0</v>
      </c>
      <c r="U5" s="1459">
        <v>0</v>
      </c>
      <c r="V5" s="1459">
        <v>0</v>
      </c>
      <c r="W5" s="1459">
        <v>0</v>
      </c>
      <c r="X5" s="1459">
        <v>97176.7411933811</v>
      </c>
      <c r="Y5" s="1459">
        <v>0</v>
      </c>
      <c r="Z5" s="1459">
        <v>0</v>
      </c>
      <c r="AA5" s="1459">
        <v>0</v>
      </c>
      <c r="AB5" s="1459">
        <v>0</v>
      </c>
      <c r="AC5" s="1459">
        <v>0</v>
      </c>
      <c r="AD5" s="1459">
        <v>0</v>
      </c>
      <c r="AE5" s="1459">
        <v>0</v>
      </c>
      <c r="AF5" s="1459">
        <v>0</v>
      </c>
      <c r="AG5" s="1459">
        <v>0</v>
      </c>
      <c r="AH5" s="1459">
        <v>0</v>
      </c>
      <c r="AI5" s="1459">
        <v>0</v>
      </c>
      <c r="AJ5" s="1459">
        <v>0</v>
      </c>
      <c r="AK5" s="1459">
        <v>0</v>
      </c>
      <c r="AL5" s="1459">
        <v>0</v>
      </c>
      <c r="AM5" s="1459">
        <v>0</v>
      </c>
      <c r="AN5" s="1459">
        <v>0</v>
      </c>
      <c r="AO5" s="1459">
        <v>0</v>
      </c>
      <c r="AP5" s="1459">
        <v>0</v>
      </c>
      <c r="AQ5" s="1459">
        <v>0</v>
      </c>
      <c r="AR5" s="1459">
        <v>0</v>
      </c>
    </row>
    <row r="6" ht="11.4" customHeight="1" outlineLevel="1" spans="1:44">
      <c r="A6" s="1457" t="s">
        <v>53</v>
      </c>
      <c r="B6" s="1458">
        <v>13190</v>
      </c>
      <c r="C6" s="1459">
        <v>0</v>
      </c>
      <c r="D6" s="1459">
        <v>0</v>
      </c>
      <c r="E6" s="1459">
        <v>0</v>
      </c>
      <c r="F6" s="1459">
        <v>0</v>
      </c>
      <c r="G6" s="1459">
        <v>0</v>
      </c>
      <c r="H6" s="1459">
        <v>0</v>
      </c>
      <c r="I6" s="1459">
        <v>0</v>
      </c>
      <c r="J6" s="1459">
        <v>0</v>
      </c>
      <c r="K6" s="1459">
        <v>0</v>
      </c>
      <c r="L6" s="1459">
        <v>0</v>
      </c>
      <c r="M6" s="1459">
        <v>0</v>
      </c>
      <c r="N6" s="1459">
        <v>0</v>
      </c>
      <c r="O6" s="1459">
        <v>0</v>
      </c>
      <c r="P6" s="1459">
        <v>0</v>
      </c>
      <c r="Q6" s="1459">
        <v>0</v>
      </c>
      <c r="R6" s="1459">
        <v>0</v>
      </c>
      <c r="S6" s="1459">
        <v>0</v>
      </c>
      <c r="T6" s="1459">
        <v>0</v>
      </c>
      <c r="U6" s="1459">
        <v>0</v>
      </c>
      <c r="V6" s="1459">
        <v>0</v>
      </c>
      <c r="W6" s="1459">
        <v>0</v>
      </c>
      <c r="X6" s="1459">
        <v>13190</v>
      </c>
      <c r="Y6" s="1459">
        <v>0</v>
      </c>
      <c r="Z6" s="1459">
        <v>0</v>
      </c>
      <c r="AA6" s="1459">
        <v>0</v>
      </c>
      <c r="AB6" s="1459">
        <v>0</v>
      </c>
      <c r="AC6" s="1459">
        <v>0</v>
      </c>
      <c r="AD6" s="1459">
        <v>0</v>
      </c>
      <c r="AE6" s="1459">
        <v>0</v>
      </c>
      <c r="AF6" s="1459">
        <v>0</v>
      </c>
      <c r="AG6" s="1459">
        <v>0</v>
      </c>
      <c r="AH6" s="1459">
        <v>0</v>
      </c>
      <c r="AI6" s="1459">
        <v>0</v>
      </c>
      <c r="AJ6" s="1459">
        <v>0</v>
      </c>
      <c r="AK6" s="1459">
        <v>0</v>
      </c>
      <c r="AL6" s="1459">
        <v>0</v>
      </c>
      <c r="AM6" s="1459">
        <v>0</v>
      </c>
      <c r="AN6" s="1459">
        <v>0</v>
      </c>
      <c r="AO6" s="1459">
        <v>0</v>
      </c>
      <c r="AP6" s="1459">
        <v>0</v>
      </c>
      <c r="AQ6" s="1459">
        <v>0</v>
      </c>
      <c r="AR6" s="1459">
        <v>0</v>
      </c>
    </row>
    <row r="7" spans="1:44">
      <c r="A7" s="1460" t="s">
        <v>430</v>
      </c>
      <c r="B7" s="1461">
        <v>231211.303148186</v>
      </c>
      <c r="C7" s="1461">
        <v>0</v>
      </c>
      <c r="D7" s="1461">
        <v>0</v>
      </c>
      <c r="E7" s="1461">
        <v>0</v>
      </c>
      <c r="F7" s="1461">
        <v>0</v>
      </c>
      <c r="G7" s="1461">
        <v>0</v>
      </c>
      <c r="H7" s="1461">
        <v>0</v>
      </c>
      <c r="I7" s="1461">
        <v>0</v>
      </c>
      <c r="J7" s="1461">
        <v>0</v>
      </c>
      <c r="K7" s="1461">
        <v>0</v>
      </c>
      <c r="L7" s="1461">
        <v>0</v>
      </c>
      <c r="M7" s="1461">
        <v>0</v>
      </c>
      <c r="N7" s="1461">
        <v>0</v>
      </c>
      <c r="O7" s="1461">
        <v>0</v>
      </c>
      <c r="P7" s="1461">
        <v>0</v>
      </c>
      <c r="Q7" s="1461">
        <v>0</v>
      </c>
      <c r="R7" s="1461">
        <v>0</v>
      </c>
      <c r="S7" s="1461">
        <v>0</v>
      </c>
      <c r="T7" s="1461">
        <v>105773.21914166</v>
      </c>
      <c r="U7" s="1461">
        <v>0</v>
      </c>
      <c r="V7" s="1461">
        <v>0</v>
      </c>
      <c r="W7" s="1461">
        <v>0</v>
      </c>
      <c r="X7" s="1461">
        <v>125438.084006525</v>
      </c>
      <c r="Y7" s="1461">
        <v>0</v>
      </c>
      <c r="Z7" s="1461">
        <v>0</v>
      </c>
      <c r="AA7" s="1461">
        <v>0</v>
      </c>
      <c r="AB7" s="1461">
        <v>0</v>
      </c>
      <c r="AC7" s="1461">
        <v>0</v>
      </c>
      <c r="AD7" s="1461">
        <v>0</v>
      </c>
      <c r="AE7" s="1461">
        <v>0</v>
      </c>
      <c r="AF7" s="1461">
        <v>0</v>
      </c>
      <c r="AG7" s="1461">
        <v>0</v>
      </c>
      <c r="AH7" s="1461">
        <v>0</v>
      </c>
      <c r="AI7" s="1461">
        <v>0</v>
      </c>
      <c r="AJ7" s="1461">
        <v>0</v>
      </c>
      <c r="AK7" s="1461">
        <v>0</v>
      </c>
      <c r="AL7" s="1461">
        <v>0</v>
      </c>
      <c r="AM7" s="1461">
        <v>0</v>
      </c>
      <c r="AN7" s="1461">
        <v>0</v>
      </c>
      <c r="AO7" s="1461">
        <v>0</v>
      </c>
      <c r="AP7" s="1461">
        <v>0</v>
      </c>
      <c r="AQ7" s="1461">
        <v>0</v>
      </c>
      <c r="AR7" s="1461">
        <v>0</v>
      </c>
    </row>
    <row r="8" outlineLevel="1" spans="1:44">
      <c r="A8" s="1457" t="s">
        <v>50</v>
      </c>
      <c r="B8" s="1458">
        <v>105773.21914166</v>
      </c>
      <c r="C8" s="1459">
        <v>0</v>
      </c>
      <c r="D8" s="1459">
        <v>0</v>
      </c>
      <c r="E8" s="1459">
        <v>0</v>
      </c>
      <c r="F8" s="1459">
        <v>0</v>
      </c>
      <c r="G8" s="1459">
        <v>0</v>
      </c>
      <c r="H8" s="1459">
        <v>0</v>
      </c>
      <c r="I8" s="1459">
        <v>0</v>
      </c>
      <c r="J8" s="1459">
        <v>0</v>
      </c>
      <c r="K8" s="1459">
        <v>0</v>
      </c>
      <c r="L8" s="1459">
        <v>0</v>
      </c>
      <c r="M8" s="1459">
        <v>0</v>
      </c>
      <c r="N8" s="1459">
        <v>0</v>
      </c>
      <c r="O8" s="1459">
        <v>0</v>
      </c>
      <c r="P8" s="1459">
        <v>0</v>
      </c>
      <c r="Q8" s="1459">
        <v>0</v>
      </c>
      <c r="R8" s="1459">
        <v>0</v>
      </c>
      <c r="S8" s="1459">
        <v>0</v>
      </c>
      <c r="T8" s="1459">
        <v>105773.21914166</v>
      </c>
      <c r="U8" s="1459">
        <v>0</v>
      </c>
      <c r="V8" s="1459">
        <v>0</v>
      </c>
      <c r="W8" s="1459">
        <v>0</v>
      </c>
      <c r="X8" s="1459">
        <v>0</v>
      </c>
      <c r="Y8" s="1459">
        <v>0</v>
      </c>
      <c r="Z8" s="1459">
        <v>0</v>
      </c>
      <c r="AA8" s="1459">
        <v>0</v>
      </c>
      <c r="AB8" s="1459">
        <v>0</v>
      </c>
      <c r="AC8" s="1459">
        <v>0</v>
      </c>
      <c r="AD8" s="1459">
        <v>0</v>
      </c>
      <c r="AE8" s="1459">
        <v>0</v>
      </c>
      <c r="AF8" s="1459">
        <v>0</v>
      </c>
      <c r="AG8" s="1459">
        <v>0</v>
      </c>
      <c r="AH8" s="1459">
        <v>0</v>
      </c>
      <c r="AI8" s="1459">
        <v>0</v>
      </c>
      <c r="AJ8" s="1459">
        <v>0</v>
      </c>
      <c r="AK8" s="1459">
        <v>0</v>
      </c>
      <c r="AL8" s="1459">
        <v>0</v>
      </c>
      <c r="AM8" s="1459">
        <v>0</v>
      </c>
      <c r="AN8" s="1459">
        <v>0</v>
      </c>
      <c r="AO8" s="1459">
        <v>0</v>
      </c>
      <c r="AP8" s="1459">
        <v>0</v>
      </c>
      <c r="AQ8" s="1459">
        <v>0</v>
      </c>
      <c r="AR8" s="1459">
        <v>0</v>
      </c>
    </row>
    <row r="9" outlineLevel="1" spans="1:44">
      <c r="A9" s="1457" t="s">
        <v>52</v>
      </c>
      <c r="B9" s="1458">
        <v>111178.624547066</v>
      </c>
      <c r="C9" s="1459">
        <v>0</v>
      </c>
      <c r="D9" s="1459">
        <v>0</v>
      </c>
      <c r="E9" s="1459">
        <v>0</v>
      </c>
      <c r="F9" s="1459">
        <v>0</v>
      </c>
      <c r="G9" s="1459">
        <v>0</v>
      </c>
      <c r="H9" s="1459">
        <v>0</v>
      </c>
      <c r="I9" s="1459">
        <v>0</v>
      </c>
      <c r="J9" s="1459">
        <v>0</v>
      </c>
      <c r="K9" s="1459">
        <v>0</v>
      </c>
      <c r="L9" s="1459">
        <v>0</v>
      </c>
      <c r="M9" s="1459">
        <v>0</v>
      </c>
      <c r="N9" s="1459">
        <v>0</v>
      </c>
      <c r="O9" s="1459">
        <v>0</v>
      </c>
      <c r="P9" s="1459">
        <v>0</v>
      </c>
      <c r="Q9" s="1459">
        <v>0</v>
      </c>
      <c r="R9" s="1459">
        <v>0</v>
      </c>
      <c r="S9" s="1459">
        <v>0</v>
      </c>
      <c r="T9" s="1459">
        <v>0</v>
      </c>
      <c r="U9" s="1459">
        <v>0</v>
      </c>
      <c r="V9" s="1459">
        <v>0</v>
      </c>
      <c r="W9" s="1459">
        <v>0</v>
      </c>
      <c r="X9" s="1459">
        <v>111178.624547066</v>
      </c>
      <c r="Y9" s="1459">
        <v>0</v>
      </c>
      <c r="Z9" s="1459">
        <v>0</v>
      </c>
      <c r="AA9" s="1459">
        <v>0</v>
      </c>
      <c r="AB9" s="1459">
        <v>0</v>
      </c>
      <c r="AC9" s="1459">
        <v>0</v>
      </c>
      <c r="AD9" s="1459">
        <v>0</v>
      </c>
      <c r="AE9" s="1459">
        <v>0</v>
      </c>
      <c r="AF9" s="1459">
        <v>0</v>
      </c>
      <c r="AG9" s="1459">
        <v>0</v>
      </c>
      <c r="AH9" s="1459">
        <v>0</v>
      </c>
      <c r="AI9" s="1459">
        <v>0</v>
      </c>
      <c r="AJ9" s="1459">
        <v>0</v>
      </c>
      <c r="AK9" s="1459">
        <v>0</v>
      </c>
      <c r="AL9" s="1459">
        <v>0</v>
      </c>
      <c r="AM9" s="1459">
        <v>0</v>
      </c>
      <c r="AN9" s="1459">
        <v>0</v>
      </c>
      <c r="AO9" s="1459">
        <v>0</v>
      </c>
      <c r="AP9" s="1459">
        <v>0</v>
      </c>
      <c r="AQ9" s="1459">
        <v>0</v>
      </c>
      <c r="AR9" s="1459">
        <v>0</v>
      </c>
    </row>
    <row r="10" outlineLevel="1" spans="1:44">
      <c r="A10" s="1457" t="s">
        <v>53</v>
      </c>
      <c r="B10" s="1458">
        <v>14259.4594594595</v>
      </c>
      <c r="C10" s="1459">
        <v>0</v>
      </c>
      <c r="D10" s="1459">
        <v>0</v>
      </c>
      <c r="E10" s="1459">
        <v>0</v>
      </c>
      <c r="F10" s="1459">
        <v>0</v>
      </c>
      <c r="G10" s="1459">
        <v>0</v>
      </c>
      <c r="H10" s="1459">
        <v>0</v>
      </c>
      <c r="I10" s="1459">
        <v>0</v>
      </c>
      <c r="J10" s="1459">
        <v>0</v>
      </c>
      <c r="K10" s="1459">
        <v>0</v>
      </c>
      <c r="L10" s="1459">
        <v>0</v>
      </c>
      <c r="M10" s="1459">
        <v>0</v>
      </c>
      <c r="N10" s="1459">
        <v>0</v>
      </c>
      <c r="O10" s="1459">
        <v>0</v>
      </c>
      <c r="P10" s="1459">
        <v>0</v>
      </c>
      <c r="Q10" s="1459">
        <v>0</v>
      </c>
      <c r="R10" s="1459">
        <v>0</v>
      </c>
      <c r="S10" s="1459">
        <v>0</v>
      </c>
      <c r="T10" s="1459">
        <v>0</v>
      </c>
      <c r="U10" s="1459">
        <v>0</v>
      </c>
      <c r="V10" s="1459">
        <v>0</v>
      </c>
      <c r="W10" s="1459">
        <v>0</v>
      </c>
      <c r="X10" s="1459">
        <v>14259.4594594595</v>
      </c>
      <c r="Y10" s="1459">
        <v>0</v>
      </c>
      <c r="Z10" s="1459">
        <v>0</v>
      </c>
      <c r="AA10" s="1459">
        <v>0</v>
      </c>
      <c r="AB10" s="1459">
        <v>0</v>
      </c>
      <c r="AC10" s="1459">
        <v>0</v>
      </c>
      <c r="AD10" s="1459">
        <v>0</v>
      </c>
      <c r="AE10" s="1459">
        <v>0</v>
      </c>
      <c r="AF10" s="1459">
        <v>0</v>
      </c>
      <c r="AG10" s="1459">
        <v>0</v>
      </c>
      <c r="AH10" s="1459">
        <v>0</v>
      </c>
      <c r="AI10" s="1459">
        <v>0</v>
      </c>
      <c r="AJ10" s="1459">
        <v>0</v>
      </c>
      <c r="AK10" s="1459">
        <v>0</v>
      </c>
      <c r="AL10" s="1459">
        <v>0</v>
      </c>
      <c r="AM10" s="1459">
        <v>0</v>
      </c>
      <c r="AN10" s="1459">
        <v>0</v>
      </c>
      <c r="AO10" s="1459">
        <v>0</v>
      </c>
      <c r="AP10" s="1459">
        <v>0</v>
      </c>
      <c r="AQ10" s="1459">
        <v>0</v>
      </c>
      <c r="AR10" s="1459">
        <v>0</v>
      </c>
    </row>
    <row r="11" spans="1:44">
      <c r="A11" s="1460" t="s">
        <v>431</v>
      </c>
      <c r="B11" s="1461">
        <v>158974.903960703</v>
      </c>
      <c r="C11" s="1461">
        <v>0</v>
      </c>
      <c r="D11" s="1461">
        <v>0</v>
      </c>
      <c r="E11" s="1461">
        <v>0</v>
      </c>
      <c r="F11" s="1461">
        <v>0</v>
      </c>
      <c r="G11" s="1461">
        <v>0</v>
      </c>
      <c r="H11" s="1461">
        <v>0</v>
      </c>
      <c r="I11" s="1461">
        <v>0</v>
      </c>
      <c r="J11" s="1461">
        <v>0</v>
      </c>
      <c r="K11" s="1461">
        <v>0</v>
      </c>
      <c r="L11" s="1461">
        <v>0</v>
      </c>
      <c r="M11" s="1461">
        <v>0</v>
      </c>
      <c r="N11" s="1461">
        <v>0</v>
      </c>
      <c r="O11" s="1461">
        <v>0</v>
      </c>
      <c r="P11" s="1461">
        <v>0</v>
      </c>
      <c r="Q11" s="1461">
        <v>0</v>
      </c>
      <c r="R11" s="1461">
        <v>0</v>
      </c>
      <c r="S11" s="1461">
        <v>0</v>
      </c>
      <c r="T11" s="1461">
        <v>71954.5958293451</v>
      </c>
      <c r="U11" s="1461">
        <v>0</v>
      </c>
      <c r="V11" s="1461">
        <v>0</v>
      </c>
      <c r="W11" s="1461">
        <v>0</v>
      </c>
      <c r="X11" s="1461">
        <v>87020.3081313584</v>
      </c>
      <c r="Y11" s="1461">
        <v>0</v>
      </c>
      <c r="Z11" s="1461">
        <v>0</v>
      </c>
      <c r="AA11" s="1461">
        <v>0</v>
      </c>
      <c r="AB11" s="1461">
        <v>0</v>
      </c>
      <c r="AC11" s="1461">
        <v>0</v>
      </c>
      <c r="AD11" s="1461">
        <v>0</v>
      </c>
      <c r="AE11" s="1461">
        <v>0</v>
      </c>
      <c r="AF11" s="1461">
        <v>0</v>
      </c>
      <c r="AG11" s="1461">
        <v>0</v>
      </c>
      <c r="AH11" s="1461">
        <v>0</v>
      </c>
      <c r="AI11" s="1461">
        <v>0</v>
      </c>
      <c r="AJ11" s="1461">
        <v>0</v>
      </c>
      <c r="AK11" s="1461">
        <v>0</v>
      </c>
      <c r="AL11" s="1461">
        <v>0</v>
      </c>
      <c r="AM11" s="1461">
        <v>0</v>
      </c>
      <c r="AN11" s="1461">
        <v>0</v>
      </c>
      <c r="AO11" s="1461">
        <v>0</v>
      </c>
      <c r="AP11" s="1461">
        <v>0</v>
      </c>
      <c r="AQ11" s="1461">
        <v>0</v>
      </c>
      <c r="AR11" s="1461">
        <v>0</v>
      </c>
    </row>
    <row r="12" outlineLevel="1" spans="1:44">
      <c r="A12" s="1457" t="s">
        <v>50</v>
      </c>
      <c r="B12" s="1458">
        <v>71954.5958293451</v>
      </c>
      <c r="C12" s="1462">
        <v>0</v>
      </c>
      <c r="D12" s="1462">
        <v>0</v>
      </c>
      <c r="E12" s="1462">
        <v>0</v>
      </c>
      <c r="F12" s="1462">
        <v>0</v>
      </c>
      <c r="G12" s="1462">
        <v>0</v>
      </c>
      <c r="H12" s="1462">
        <v>0</v>
      </c>
      <c r="I12" s="1462">
        <v>0</v>
      </c>
      <c r="J12" s="1462">
        <v>0</v>
      </c>
      <c r="K12" s="1462">
        <v>0</v>
      </c>
      <c r="L12" s="1462">
        <v>0</v>
      </c>
      <c r="M12" s="1462">
        <v>0</v>
      </c>
      <c r="N12" s="1462">
        <v>0</v>
      </c>
      <c r="O12" s="1462">
        <v>0</v>
      </c>
      <c r="P12" s="1462">
        <v>0</v>
      </c>
      <c r="Q12" s="1462">
        <v>0</v>
      </c>
      <c r="R12" s="1462">
        <v>0</v>
      </c>
      <c r="S12" s="1462">
        <v>0</v>
      </c>
      <c r="T12" s="1462">
        <v>71954.5958293451</v>
      </c>
      <c r="U12" s="1462">
        <v>0</v>
      </c>
      <c r="V12" s="1462">
        <v>0</v>
      </c>
      <c r="W12" s="1462">
        <v>0</v>
      </c>
      <c r="X12" s="1462">
        <v>0</v>
      </c>
      <c r="Y12" s="1462">
        <v>0</v>
      </c>
      <c r="Z12" s="1462">
        <v>0</v>
      </c>
      <c r="AA12" s="1462">
        <v>0</v>
      </c>
      <c r="AB12" s="1462">
        <v>0</v>
      </c>
      <c r="AC12" s="1462">
        <v>0</v>
      </c>
      <c r="AD12" s="1462">
        <v>0</v>
      </c>
      <c r="AE12" s="1462">
        <v>0</v>
      </c>
      <c r="AF12" s="1462">
        <v>0</v>
      </c>
      <c r="AG12" s="1462">
        <v>0</v>
      </c>
      <c r="AH12" s="1462">
        <v>0</v>
      </c>
      <c r="AI12" s="1462">
        <v>0</v>
      </c>
      <c r="AJ12" s="1462">
        <v>0</v>
      </c>
      <c r="AK12" s="1462">
        <v>0</v>
      </c>
      <c r="AL12" s="1462">
        <v>0</v>
      </c>
      <c r="AM12" s="1462">
        <v>0</v>
      </c>
      <c r="AN12" s="1462">
        <v>0</v>
      </c>
      <c r="AO12" s="1462">
        <v>0</v>
      </c>
      <c r="AP12" s="1462">
        <v>0</v>
      </c>
      <c r="AQ12" s="1462">
        <v>0</v>
      </c>
      <c r="AR12" s="1462">
        <v>0</v>
      </c>
    </row>
    <row r="13" outlineLevel="1" spans="1:44">
      <c r="A13" s="1457" t="s">
        <v>52</v>
      </c>
      <c r="B13" s="1458">
        <v>74504.984649599</v>
      </c>
      <c r="C13" s="1462">
        <v>0</v>
      </c>
      <c r="D13" s="1462">
        <v>0</v>
      </c>
      <c r="E13" s="1462">
        <v>0</v>
      </c>
      <c r="F13" s="1462">
        <v>0</v>
      </c>
      <c r="G13" s="1462">
        <v>0</v>
      </c>
      <c r="H13" s="1462">
        <v>0</v>
      </c>
      <c r="I13" s="1462">
        <v>0</v>
      </c>
      <c r="J13" s="1462">
        <v>0</v>
      </c>
      <c r="K13" s="1462">
        <v>0</v>
      </c>
      <c r="L13" s="1462">
        <v>0</v>
      </c>
      <c r="M13" s="1462">
        <v>0</v>
      </c>
      <c r="N13" s="1462">
        <v>0</v>
      </c>
      <c r="O13" s="1462">
        <v>0</v>
      </c>
      <c r="P13" s="1462">
        <v>0</v>
      </c>
      <c r="Q13" s="1462">
        <v>0</v>
      </c>
      <c r="R13" s="1462">
        <v>0</v>
      </c>
      <c r="S13" s="1462">
        <v>0</v>
      </c>
      <c r="T13" s="1462">
        <v>0</v>
      </c>
      <c r="U13" s="1462">
        <v>0</v>
      </c>
      <c r="V13" s="1462">
        <v>0</v>
      </c>
      <c r="W13" s="1462">
        <v>0</v>
      </c>
      <c r="X13" s="1462">
        <v>74504.984649599</v>
      </c>
      <c r="Y13" s="1462">
        <v>0</v>
      </c>
      <c r="Z13" s="1462">
        <v>0</v>
      </c>
      <c r="AA13" s="1462">
        <v>0</v>
      </c>
      <c r="AB13" s="1462">
        <v>0</v>
      </c>
      <c r="AC13" s="1462">
        <v>0</v>
      </c>
      <c r="AD13" s="1462">
        <v>0</v>
      </c>
      <c r="AE13" s="1462">
        <v>0</v>
      </c>
      <c r="AF13" s="1462">
        <v>0</v>
      </c>
      <c r="AG13" s="1462">
        <v>0</v>
      </c>
      <c r="AH13" s="1462">
        <v>0</v>
      </c>
      <c r="AI13" s="1462">
        <v>0</v>
      </c>
      <c r="AJ13" s="1462">
        <v>0</v>
      </c>
      <c r="AK13" s="1462">
        <v>0</v>
      </c>
      <c r="AL13" s="1462">
        <v>0</v>
      </c>
      <c r="AM13" s="1462">
        <v>0</v>
      </c>
      <c r="AN13" s="1462">
        <v>0</v>
      </c>
      <c r="AO13" s="1462">
        <v>0</v>
      </c>
      <c r="AP13" s="1462">
        <v>0</v>
      </c>
      <c r="AQ13" s="1462">
        <v>0</v>
      </c>
      <c r="AR13" s="1462">
        <v>0</v>
      </c>
    </row>
    <row r="14" outlineLevel="1" spans="1:44">
      <c r="A14" s="1457" t="s">
        <v>53</v>
      </c>
      <c r="B14" s="1458">
        <v>12515.3234817594</v>
      </c>
      <c r="C14" s="1462">
        <v>0</v>
      </c>
      <c r="D14" s="1462">
        <v>0</v>
      </c>
      <c r="E14" s="1462">
        <v>0</v>
      </c>
      <c r="F14" s="1462">
        <v>0</v>
      </c>
      <c r="G14" s="1462">
        <v>0</v>
      </c>
      <c r="H14" s="1462">
        <v>0</v>
      </c>
      <c r="I14" s="1462">
        <v>0</v>
      </c>
      <c r="J14" s="1462">
        <v>0</v>
      </c>
      <c r="K14" s="1462">
        <v>0</v>
      </c>
      <c r="L14" s="1462">
        <v>0</v>
      </c>
      <c r="M14" s="1462">
        <v>0</v>
      </c>
      <c r="N14" s="1462">
        <v>0</v>
      </c>
      <c r="O14" s="1462">
        <v>0</v>
      </c>
      <c r="P14" s="1462">
        <v>0</v>
      </c>
      <c r="Q14" s="1462">
        <v>0</v>
      </c>
      <c r="R14" s="1462">
        <v>0</v>
      </c>
      <c r="S14" s="1462">
        <v>0</v>
      </c>
      <c r="T14" s="1462">
        <v>0</v>
      </c>
      <c r="U14" s="1462">
        <v>0</v>
      </c>
      <c r="V14" s="1462">
        <v>0</v>
      </c>
      <c r="W14" s="1462">
        <v>0</v>
      </c>
      <c r="X14" s="1462">
        <v>12515.3234817594</v>
      </c>
      <c r="Y14" s="1462">
        <v>0</v>
      </c>
      <c r="Z14" s="1462">
        <v>0</v>
      </c>
      <c r="AA14" s="1462">
        <v>0</v>
      </c>
      <c r="AB14" s="1462">
        <v>0</v>
      </c>
      <c r="AC14" s="1462">
        <v>0</v>
      </c>
      <c r="AD14" s="1462">
        <v>0</v>
      </c>
      <c r="AE14" s="1462">
        <v>0</v>
      </c>
      <c r="AF14" s="1462">
        <v>0</v>
      </c>
      <c r="AG14" s="1462">
        <v>0</v>
      </c>
      <c r="AH14" s="1462">
        <v>0</v>
      </c>
      <c r="AI14" s="1462">
        <v>0</v>
      </c>
      <c r="AJ14" s="1462">
        <v>0</v>
      </c>
      <c r="AK14" s="1462">
        <v>0</v>
      </c>
      <c r="AL14" s="1462">
        <v>0</v>
      </c>
      <c r="AM14" s="1462">
        <v>0</v>
      </c>
      <c r="AN14" s="1462">
        <v>0</v>
      </c>
      <c r="AO14" s="1462">
        <v>0</v>
      </c>
      <c r="AP14" s="1462">
        <v>0</v>
      </c>
      <c r="AQ14" s="1462">
        <v>0</v>
      </c>
      <c r="AR14" s="1462">
        <v>0</v>
      </c>
    </row>
    <row r="15" spans="1:44">
      <c r="A15" s="1460" t="s">
        <v>403</v>
      </c>
      <c r="B15" s="1461">
        <v>11367.8345105295</v>
      </c>
      <c r="C15" s="1461">
        <v>0</v>
      </c>
      <c r="D15" s="1461">
        <v>0</v>
      </c>
      <c r="E15" s="1461">
        <v>0</v>
      </c>
      <c r="F15" s="1461">
        <v>0</v>
      </c>
      <c r="G15" s="1461">
        <v>0</v>
      </c>
      <c r="H15" s="1461">
        <v>0</v>
      </c>
      <c r="I15" s="1461">
        <v>0</v>
      </c>
      <c r="J15" s="1461">
        <v>0</v>
      </c>
      <c r="K15" s="1461">
        <v>0</v>
      </c>
      <c r="L15" s="1461">
        <v>0</v>
      </c>
      <c r="M15" s="1461">
        <v>0</v>
      </c>
      <c r="N15" s="1461">
        <v>0</v>
      </c>
      <c r="O15" s="1461">
        <v>0</v>
      </c>
      <c r="P15" s="1461">
        <v>0</v>
      </c>
      <c r="Q15" s="1461">
        <v>0</v>
      </c>
      <c r="R15" s="1461">
        <v>0</v>
      </c>
      <c r="S15" s="1461">
        <v>0</v>
      </c>
      <c r="T15" s="1461">
        <v>5163.84141585367</v>
      </c>
      <c r="U15" s="1461">
        <v>0</v>
      </c>
      <c r="V15" s="1461">
        <v>0</v>
      </c>
      <c r="W15" s="1461">
        <v>0</v>
      </c>
      <c r="X15" s="1461">
        <v>6203.99309467582</v>
      </c>
      <c r="Y15" s="1461">
        <v>0</v>
      </c>
      <c r="Z15" s="1461">
        <v>0</v>
      </c>
      <c r="AA15" s="1461">
        <v>0</v>
      </c>
      <c r="AB15" s="1461">
        <v>0</v>
      </c>
      <c r="AC15" s="1461">
        <v>0</v>
      </c>
      <c r="AD15" s="1461">
        <v>0</v>
      </c>
      <c r="AE15" s="1461">
        <v>0</v>
      </c>
      <c r="AF15" s="1461">
        <v>0</v>
      </c>
      <c r="AG15" s="1461">
        <v>0</v>
      </c>
      <c r="AH15" s="1461">
        <v>0</v>
      </c>
      <c r="AI15" s="1461">
        <v>0</v>
      </c>
      <c r="AJ15" s="1461">
        <v>0</v>
      </c>
      <c r="AK15" s="1461">
        <v>0</v>
      </c>
      <c r="AL15" s="1461">
        <v>0</v>
      </c>
      <c r="AM15" s="1461">
        <v>0</v>
      </c>
      <c r="AN15" s="1461">
        <v>0</v>
      </c>
      <c r="AO15" s="1461">
        <v>0</v>
      </c>
      <c r="AP15" s="1461">
        <v>0</v>
      </c>
      <c r="AQ15" s="1461">
        <v>0</v>
      </c>
      <c r="AR15" s="1461">
        <v>0</v>
      </c>
    </row>
    <row r="16" outlineLevel="1" spans="1:44">
      <c r="A16" s="1457" t="s">
        <v>50</v>
      </c>
      <c r="B16" s="1458">
        <v>5163.84141585367</v>
      </c>
      <c r="C16" s="1459">
        <v>0</v>
      </c>
      <c r="D16" s="1459">
        <v>0</v>
      </c>
      <c r="E16" s="1459">
        <v>0</v>
      </c>
      <c r="F16" s="1459">
        <v>0</v>
      </c>
      <c r="G16" s="1459">
        <v>0</v>
      </c>
      <c r="H16" s="1459">
        <v>0</v>
      </c>
      <c r="I16" s="1459">
        <v>0</v>
      </c>
      <c r="J16" s="1459">
        <v>0</v>
      </c>
      <c r="K16" s="1459">
        <v>0</v>
      </c>
      <c r="L16" s="1459">
        <v>0</v>
      </c>
      <c r="M16" s="1459">
        <v>0</v>
      </c>
      <c r="N16" s="1459">
        <v>0</v>
      </c>
      <c r="O16" s="1459">
        <v>0</v>
      </c>
      <c r="P16" s="1459">
        <v>0</v>
      </c>
      <c r="Q16" s="1459">
        <v>0</v>
      </c>
      <c r="R16" s="1459">
        <v>0</v>
      </c>
      <c r="S16" s="1459">
        <v>0</v>
      </c>
      <c r="T16" s="1459">
        <v>5163.84141585367</v>
      </c>
      <c r="U16" s="1459">
        <v>0</v>
      </c>
      <c r="V16" s="1459">
        <v>0</v>
      </c>
      <c r="W16" s="1459">
        <v>0</v>
      </c>
      <c r="X16" s="1459">
        <v>0</v>
      </c>
      <c r="Y16" s="1459">
        <v>0</v>
      </c>
      <c r="Z16" s="1459">
        <v>0</v>
      </c>
      <c r="AA16" s="1459">
        <v>0</v>
      </c>
      <c r="AB16" s="1459">
        <v>0</v>
      </c>
      <c r="AC16" s="1459">
        <v>0</v>
      </c>
      <c r="AD16" s="1459">
        <v>0</v>
      </c>
      <c r="AE16" s="1459">
        <v>0</v>
      </c>
      <c r="AF16" s="1459">
        <v>0</v>
      </c>
      <c r="AG16" s="1459">
        <v>0</v>
      </c>
      <c r="AH16" s="1459">
        <v>0</v>
      </c>
      <c r="AI16" s="1459">
        <v>0</v>
      </c>
      <c r="AJ16" s="1459">
        <v>0</v>
      </c>
      <c r="AK16" s="1459">
        <v>0</v>
      </c>
      <c r="AL16" s="1459">
        <v>0</v>
      </c>
      <c r="AM16" s="1459">
        <v>0</v>
      </c>
      <c r="AN16" s="1459">
        <v>0</v>
      </c>
      <c r="AO16" s="1459">
        <v>0</v>
      </c>
      <c r="AP16" s="1459">
        <v>0</v>
      </c>
      <c r="AQ16" s="1459">
        <v>0</v>
      </c>
      <c r="AR16" s="1459">
        <v>0</v>
      </c>
    </row>
    <row r="17" outlineLevel="1" spans="1:44">
      <c r="A17" s="1457" t="s">
        <v>52</v>
      </c>
      <c r="B17" s="1458">
        <v>5845.91244105063</v>
      </c>
      <c r="C17" s="1459">
        <v>0</v>
      </c>
      <c r="D17" s="1459">
        <v>0</v>
      </c>
      <c r="E17" s="1459">
        <v>0</v>
      </c>
      <c r="F17" s="1459">
        <v>0</v>
      </c>
      <c r="G17" s="1459">
        <v>0</v>
      </c>
      <c r="H17" s="1459">
        <v>0</v>
      </c>
      <c r="I17" s="1459">
        <v>0</v>
      </c>
      <c r="J17" s="1459">
        <v>0</v>
      </c>
      <c r="K17" s="1459">
        <v>0</v>
      </c>
      <c r="L17" s="1459">
        <v>0</v>
      </c>
      <c r="M17" s="1459">
        <v>0</v>
      </c>
      <c r="N17" s="1459">
        <v>0</v>
      </c>
      <c r="O17" s="1459">
        <v>0</v>
      </c>
      <c r="P17" s="1459">
        <v>0</v>
      </c>
      <c r="Q17" s="1459">
        <v>0</v>
      </c>
      <c r="R17" s="1459">
        <v>0</v>
      </c>
      <c r="S17" s="1459">
        <v>0</v>
      </c>
      <c r="T17" s="1459">
        <v>0</v>
      </c>
      <c r="U17" s="1459">
        <v>0</v>
      </c>
      <c r="V17" s="1459">
        <v>0</v>
      </c>
      <c r="W17" s="1459">
        <v>0</v>
      </c>
      <c r="X17" s="1459">
        <v>5845.91244105063</v>
      </c>
      <c r="Y17" s="1459">
        <v>0</v>
      </c>
      <c r="Z17" s="1459">
        <v>0</v>
      </c>
      <c r="AA17" s="1459">
        <v>0</v>
      </c>
      <c r="AB17" s="1459">
        <v>0</v>
      </c>
      <c r="AC17" s="1459">
        <v>0</v>
      </c>
      <c r="AD17" s="1459">
        <v>0</v>
      </c>
      <c r="AE17" s="1459">
        <v>0</v>
      </c>
      <c r="AF17" s="1459">
        <v>0</v>
      </c>
      <c r="AG17" s="1459">
        <v>0</v>
      </c>
      <c r="AH17" s="1459">
        <v>0</v>
      </c>
      <c r="AI17" s="1459">
        <v>0</v>
      </c>
      <c r="AJ17" s="1459">
        <v>0</v>
      </c>
      <c r="AK17" s="1459">
        <v>0</v>
      </c>
      <c r="AL17" s="1459">
        <v>0</v>
      </c>
      <c r="AM17" s="1459">
        <v>0</v>
      </c>
      <c r="AN17" s="1459">
        <v>0</v>
      </c>
      <c r="AO17" s="1459">
        <v>0</v>
      </c>
      <c r="AP17" s="1459">
        <v>0</v>
      </c>
      <c r="AQ17" s="1459">
        <v>0</v>
      </c>
      <c r="AR17" s="1459">
        <v>0</v>
      </c>
    </row>
    <row r="18" outlineLevel="1" spans="1:44">
      <c r="A18" s="1457" t="s">
        <v>53</v>
      </c>
      <c r="B18" s="1458">
        <v>358.080653625189</v>
      </c>
      <c r="C18" s="1459">
        <v>0</v>
      </c>
      <c r="D18" s="1459">
        <v>0</v>
      </c>
      <c r="E18" s="1459">
        <v>0</v>
      </c>
      <c r="F18" s="1459">
        <v>0</v>
      </c>
      <c r="G18" s="1459">
        <v>0</v>
      </c>
      <c r="H18" s="1459">
        <v>0</v>
      </c>
      <c r="I18" s="1459">
        <v>0</v>
      </c>
      <c r="J18" s="1459">
        <v>0</v>
      </c>
      <c r="K18" s="1459">
        <v>0</v>
      </c>
      <c r="L18" s="1459">
        <v>0</v>
      </c>
      <c r="M18" s="1459">
        <v>0</v>
      </c>
      <c r="N18" s="1459">
        <v>0</v>
      </c>
      <c r="O18" s="1459">
        <v>0</v>
      </c>
      <c r="P18" s="1459">
        <v>0</v>
      </c>
      <c r="Q18" s="1459">
        <v>0</v>
      </c>
      <c r="R18" s="1459">
        <v>0</v>
      </c>
      <c r="S18" s="1459">
        <v>0</v>
      </c>
      <c r="T18" s="1459">
        <v>0</v>
      </c>
      <c r="U18" s="1459">
        <v>0</v>
      </c>
      <c r="V18" s="1459">
        <v>0</v>
      </c>
      <c r="W18" s="1459">
        <v>0</v>
      </c>
      <c r="X18" s="1459">
        <v>358.080653625189</v>
      </c>
      <c r="Y18" s="1459">
        <v>0</v>
      </c>
      <c r="Z18" s="1459">
        <v>0</v>
      </c>
      <c r="AA18" s="1459">
        <v>0</v>
      </c>
      <c r="AB18" s="1459">
        <v>0</v>
      </c>
      <c r="AC18" s="1459">
        <v>0</v>
      </c>
      <c r="AD18" s="1459">
        <v>0</v>
      </c>
      <c r="AE18" s="1459">
        <v>0</v>
      </c>
      <c r="AF18" s="1459">
        <v>0</v>
      </c>
      <c r="AG18" s="1459">
        <v>0</v>
      </c>
      <c r="AH18" s="1459">
        <v>0</v>
      </c>
      <c r="AI18" s="1459">
        <v>0</v>
      </c>
      <c r="AJ18" s="1459">
        <v>0</v>
      </c>
      <c r="AK18" s="1459">
        <v>0</v>
      </c>
      <c r="AL18" s="1459">
        <v>0</v>
      </c>
      <c r="AM18" s="1459">
        <v>0</v>
      </c>
      <c r="AN18" s="1459">
        <v>0</v>
      </c>
      <c r="AO18" s="1459">
        <v>0</v>
      </c>
      <c r="AP18" s="1459">
        <v>0</v>
      </c>
      <c r="AQ18" s="1459">
        <v>0</v>
      </c>
      <c r="AR18" s="1459">
        <v>0</v>
      </c>
    </row>
    <row r="19" spans="1:44">
      <c r="A19" s="1460" t="s">
        <v>236</v>
      </c>
      <c r="B19" s="1463">
        <v>60868.5646769528</v>
      </c>
      <c r="C19" s="1463">
        <v>0</v>
      </c>
      <c r="D19" s="1463">
        <v>0</v>
      </c>
      <c r="E19" s="1463">
        <v>0</v>
      </c>
      <c r="F19" s="1463">
        <v>0</v>
      </c>
      <c r="G19" s="1463">
        <v>0</v>
      </c>
      <c r="H19" s="1463">
        <v>0</v>
      </c>
      <c r="I19" s="1463">
        <v>0</v>
      </c>
      <c r="J19" s="1463">
        <v>0</v>
      </c>
      <c r="K19" s="1463">
        <v>0</v>
      </c>
      <c r="L19" s="1463">
        <v>0</v>
      </c>
      <c r="M19" s="1463">
        <v>0</v>
      </c>
      <c r="N19" s="1463">
        <v>0</v>
      </c>
      <c r="O19" s="1463">
        <v>0</v>
      </c>
      <c r="P19" s="1463">
        <v>0</v>
      </c>
      <c r="Q19" s="1463">
        <v>0</v>
      </c>
      <c r="R19" s="1463">
        <v>0</v>
      </c>
      <c r="S19" s="1463">
        <v>0</v>
      </c>
      <c r="T19" s="1463">
        <v>28654.7818964617</v>
      </c>
      <c r="U19" s="1463">
        <v>0</v>
      </c>
      <c r="V19" s="1463">
        <v>0</v>
      </c>
      <c r="W19" s="1463">
        <v>0</v>
      </c>
      <c r="X19" s="1463">
        <v>32213.782780491</v>
      </c>
      <c r="Y19" s="1463">
        <v>0</v>
      </c>
      <c r="Z19" s="1463">
        <v>0</v>
      </c>
      <c r="AA19" s="1463">
        <v>0</v>
      </c>
      <c r="AB19" s="1463">
        <v>0</v>
      </c>
      <c r="AC19" s="1463">
        <v>0</v>
      </c>
      <c r="AD19" s="1463">
        <v>0</v>
      </c>
      <c r="AE19" s="1463">
        <v>0</v>
      </c>
      <c r="AF19" s="1463">
        <v>0</v>
      </c>
      <c r="AG19" s="1463">
        <v>0</v>
      </c>
      <c r="AH19" s="1463">
        <v>0</v>
      </c>
      <c r="AI19" s="1463">
        <v>0</v>
      </c>
      <c r="AJ19" s="1463">
        <v>0</v>
      </c>
      <c r="AK19" s="1463">
        <v>0</v>
      </c>
      <c r="AL19" s="1463">
        <v>0</v>
      </c>
      <c r="AM19" s="1463">
        <v>0</v>
      </c>
      <c r="AN19" s="1463">
        <v>0</v>
      </c>
      <c r="AO19" s="1463">
        <v>0</v>
      </c>
      <c r="AP19" s="1463">
        <v>0</v>
      </c>
      <c r="AQ19" s="1463">
        <v>0</v>
      </c>
      <c r="AR19" s="1463">
        <v>0</v>
      </c>
    </row>
    <row r="20" outlineLevel="1" spans="1:44">
      <c r="A20" s="1457" t="s">
        <v>50</v>
      </c>
      <c r="B20" s="1458">
        <v>28654.7818964617</v>
      </c>
      <c r="C20" s="1464">
        <v>0</v>
      </c>
      <c r="D20" s="1464">
        <v>0</v>
      </c>
      <c r="E20" s="1464">
        <v>0</v>
      </c>
      <c r="F20" s="1464">
        <v>0</v>
      </c>
      <c r="G20" s="1464">
        <v>0</v>
      </c>
      <c r="H20" s="1464">
        <v>0</v>
      </c>
      <c r="I20" s="1464">
        <v>0</v>
      </c>
      <c r="J20" s="1464">
        <v>0</v>
      </c>
      <c r="K20" s="1464">
        <v>0</v>
      </c>
      <c r="L20" s="1464">
        <v>0</v>
      </c>
      <c r="M20" s="1464">
        <v>0</v>
      </c>
      <c r="N20" s="1464">
        <v>0</v>
      </c>
      <c r="O20" s="1464">
        <v>0</v>
      </c>
      <c r="P20" s="1464">
        <v>0</v>
      </c>
      <c r="Q20" s="1464">
        <v>0</v>
      </c>
      <c r="R20" s="1464">
        <v>0</v>
      </c>
      <c r="S20" s="1464">
        <v>0</v>
      </c>
      <c r="T20" s="1464">
        <v>28654.7818964617</v>
      </c>
      <c r="U20" s="1464">
        <v>0</v>
      </c>
      <c r="V20" s="1464">
        <v>0</v>
      </c>
      <c r="W20" s="1464">
        <v>0</v>
      </c>
      <c r="X20" s="1464">
        <v>0</v>
      </c>
      <c r="Y20" s="1464">
        <v>0</v>
      </c>
      <c r="Z20" s="1464">
        <v>0</v>
      </c>
      <c r="AA20" s="1464">
        <v>0</v>
      </c>
      <c r="AB20" s="1464">
        <v>0</v>
      </c>
      <c r="AC20" s="1464">
        <v>0</v>
      </c>
      <c r="AD20" s="1464">
        <v>0</v>
      </c>
      <c r="AE20" s="1464">
        <v>0</v>
      </c>
      <c r="AF20" s="1464">
        <v>0</v>
      </c>
      <c r="AG20" s="1464">
        <v>0</v>
      </c>
      <c r="AH20" s="1464">
        <v>0</v>
      </c>
      <c r="AI20" s="1464">
        <v>0</v>
      </c>
      <c r="AJ20" s="1464">
        <v>0</v>
      </c>
      <c r="AK20" s="1464">
        <v>0</v>
      </c>
      <c r="AL20" s="1464">
        <v>0</v>
      </c>
      <c r="AM20" s="1464">
        <v>0</v>
      </c>
      <c r="AN20" s="1464">
        <v>0</v>
      </c>
      <c r="AO20" s="1464">
        <v>0</v>
      </c>
      <c r="AP20" s="1464">
        <v>0</v>
      </c>
      <c r="AQ20" s="1464">
        <v>0</v>
      </c>
      <c r="AR20" s="1464">
        <v>0</v>
      </c>
    </row>
    <row r="21" outlineLevel="1" spans="1:44">
      <c r="A21" s="1457" t="s">
        <v>52</v>
      </c>
      <c r="B21" s="1458">
        <v>30827.7274564161</v>
      </c>
      <c r="C21" s="1464">
        <v>0</v>
      </c>
      <c r="D21" s="1464">
        <v>0</v>
      </c>
      <c r="E21" s="1464">
        <v>0</v>
      </c>
      <c r="F21" s="1464">
        <v>0</v>
      </c>
      <c r="G21" s="1464">
        <v>0</v>
      </c>
      <c r="H21" s="1464">
        <v>0</v>
      </c>
      <c r="I21" s="1464">
        <v>0</v>
      </c>
      <c r="J21" s="1464">
        <v>0</v>
      </c>
      <c r="K21" s="1464">
        <v>0</v>
      </c>
      <c r="L21" s="1464">
        <v>0</v>
      </c>
      <c r="M21" s="1464">
        <v>0</v>
      </c>
      <c r="N21" s="1464">
        <v>0</v>
      </c>
      <c r="O21" s="1464">
        <v>0</v>
      </c>
      <c r="P21" s="1464">
        <v>0</v>
      </c>
      <c r="Q21" s="1464">
        <v>0</v>
      </c>
      <c r="R21" s="1464">
        <v>0</v>
      </c>
      <c r="S21" s="1464">
        <v>0</v>
      </c>
      <c r="T21" s="1464">
        <v>0</v>
      </c>
      <c r="U21" s="1464">
        <v>0</v>
      </c>
      <c r="V21" s="1464">
        <v>0</v>
      </c>
      <c r="W21" s="1464">
        <v>0</v>
      </c>
      <c r="X21" s="1464">
        <v>30827.7274564161</v>
      </c>
      <c r="Y21" s="1464">
        <v>0</v>
      </c>
      <c r="Z21" s="1464">
        <v>0</v>
      </c>
      <c r="AA21" s="1464">
        <v>0</v>
      </c>
      <c r="AB21" s="1464">
        <v>0</v>
      </c>
      <c r="AC21" s="1464">
        <v>0</v>
      </c>
      <c r="AD21" s="1464">
        <v>0</v>
      </c>
      <c r="AE21" s="1464">
        <v>0</v>
      </c>
      <c r="AF21" s="1464">
        <v>0</v>
      </c>
      <c r="AG21" s="1464">
        <v>0</v>
      </c>
      <c r="AH21" s="1464">
        <v>0</v>
      </c>
      <c r="AI21" s="1464">
        <v>0</v>
      </c>
      <c r="AJ21" s="1464">
        <v>0</v>
      </c>
      <c r="AK21" s="1464">
        <v>0</v>
      </c>
      <c r="AL21" s="1464">
        <v>0</v>
      </c>
      <c r="AM21" s="1464">
        <v>0</v>
      </c>
      <c r="AN21" s="1464">
        <v>0</v>
      </c>
      <c r="AO21" s="1464">
        <v>0</v>
      </c>
      <c r="AP21" s="1464">
        <v>0</v>
      </c>
      <c r="AQ21" s="1464">
        <v>0</v>
      </c>
      <c r="AR21" s="1464">
        <v>0</v>
      </c>
    </row>
    <row r="22" outlineLevel="1" spans="1:44">
      <c r="A22" s="1457" t="s">
        <v>53</v>
      </c>
      <c r="B22" s="1458">
        <v>1386.0553240749</v>
      </c>
      <c r="C22" s="1464">
        <v>0</v>
      </c>
      <c r="D22" s="1464">
        <v>0</v>
      </c>
      <c r="E22" s="1464">
        <v>0</v>
      </c>
      <c r="F22" s="1464">
        <v>0</v>
      </c>
      <c r="G22" s="1464">
        <v>0</v>
      </c>
      <c r="H22" s="1464">
        <v>0</v>
      </c>
      <c r="I22" s="1464">
        <v>0</v>
      </c>
      <c r="J22" s="1464">
        <v>0</v>
      </c>
      <c r="K22" s="1464">
        <v>0</v>
      </c>
      <c r="L22" s="1464">
        <v>0</v>
      </c>
      <c r="M22" s="1464">
        <v>0</v>
      </c>
      <c r="N22" s="1464">
        <v>0</v>
      </c>
      <c r="O22" s="1464">
        <v>0</v>
      </c>
      <c r="P22" s="1464">
        <v>0</v>
      </c>
      <c r="Q22" s="1464">
        <v>0</v>
      </c>
      <c r="R22" s="1464">
        <v>0</v>
      </c>
      <c r="S22" s="1464">
        <v>0</v>
      </c>
      <c r="T22" s="1464">
        <v>0</v>
      </c>
      <c r="U22" s="1464">
        <v>0</v>
      </c>
      <c r="V22" s="1464">
        <v>0</v>
      </c>
      <c r="W22" s="1464">
        <v>0</v>
      </c>
      <c r="X22" s="1464">
        <v>1386.0553240749</v>
      </c>
      <c r="Y22" s="1464">
        <v>0</v>
      </c>
      <c r="Z22" s="1464">
        <v>0</v>
      </c>
      <c r="AA22" s="1464">
        <v>0</v>
      </c>
      <c r="AB22" s="1464">
        <v>0</v>
      </c>
      <c r="AC22" s="1464">
        <v>0</v>
      </c>
      <c r="AD22" s="1464">
        <v>0</v>
      </c>
      <c r="AE22" s="1464">
        <v>0</v>
      </c>
      <c r="AF22" s="1464">
        <v>0</v>
      </c>
      <c r="AG22" s="1464">
        <v>0</v>
      </c>
      <c r="AH22" s="1464">
        <v>0</v>
      </c>
      <c r="AI22" s="1464">
        <v>0</v>
      </c>
      <c r="AJ22" s="1464">
        <v>0</v>
      </c>
      <c r="AK22" s="1464">
        <v>0</v>
      </c>
      <c r="AL22" s="1464">
        <v>0</v>
      </c>
      <c r="AM22" s="1464">
        <v>0</v>
      </c>
      <c r="AN22" s="1464">
        <v>0</v>
      </c>
      <c r="AO22" s="1464">
        <v>0</v>
      </c>
      <c r="AP22" s="1464">
        <v>0</v>
      </c>
      <c r="AQ22" s="1464">
        <v>0</v>
      </c>
      <c r="AR22" s="1464">
        <v>0</v>
      </c>
    </row>
    <row r="23" spans="1:44">
      <c r="A23" s="1460" t="s">
        <v>413</v>
      </c>
      <c r="B23" s="1463">
        <v>0</v>
      </c>
      <c r="C23" s="1463">
        <v>0</v>
      </c>
      <c r="D23" s="1463">
        <v>0</v>
      </c>
      <c r="E23" s="1463">
        <v>0</v>
      </c>
      <c r="F23" s="1463">
        <v>0</v>
      </c>
      <c r="G23" s="1463">
        <v>0</v>
      </c>
      <c r="H23" s="1463">
        <v>0</v>
      </c>
      <c r="I23" s="1463">
        <v>0</v>
      </c>
      <c r="J23" s="1463">
        <v>0</v>
      </c>
      <c r="K23" s="1463">
        <v>0</v>
      </c>
      <c r="L23" s="1463">
        <v>0</v>
      </c>
      <c r="M23" s="1463">
        <v>0</v>
      </c>
      <c r="N23" s="1463">
        <v>0</v>
      </c>
      <c r="O23" s="1463">
        <v>0</v>
      </c>
      <c r="P23" s="1463">
        <v>0</v>
      </c>
      <c r="Q23" s="1463">
        <v>0</v>
      </c>
      <c r="R23" s="1463">
        <v>0</v>
      </c>
      <c r="S23" s="1463">
        <v>0</v>
      </c>
      <c r="T23" s="1463">
        <v>0</v>
      </c>
      <c r="U23" s="1463">
        <v>0</v>
      </c>
      <c r="V23" s="1463">
        <v>0</v>
      </c>
      <c r="W23" s="1463">
        <v>0</v>
      </c>
      <c r="X23" s="1463">
        <v>0</v>
      </c>
      <c r="Y23" s="1463">
        <v>0</v>
      </c>
      <c r="Z23" s="1463">
        <v>0</v>
      </c>
      <c r="AA23" s="1463">
        <v>0</v>
      </c>
      <c r="AB23" s="1463">
        <v>0</v>
      </c>
      <c r="AC23" s="1463">
        <v>0</v>
      </c>
      <c r="AD23" s="1463">
        <v>0</v>
      </c>
      <c r="AE23" s="1463">
        <v>0</v>
      </c>
      <c r="AF23" s="1463">
        <v>0</v>
      </c>
      <c r="AG23" s="1463">
        <v>0</v>
      </c>
      <c r="AH23" s="1463">
        <v>0</v>
      </c>
      <c r="AI23" s="1463">
        <v>0</v>
      </c>
      <c r="AJ23" s="1463">
        <v>0</v>
      </c>
      <c r="AK23" s="1463">
        <v>0</v>
      </c>
      <c r="AL23" s="1463">
        <v>0</v>
      </c>
      <c r="AM23" s="1463">
        <v>0</v>
      </c>
      <c r="AN23" s="1463">
        <v>0</v>
      </c>
      <c r="AO23" s="1463">
        <v>0</v>
      </c>
      <c r="AP23" s="1463">
        <v>0</v>
      </c>
      <c r="AQ23" s="1463">
        <v>0</v>
      </c>
      <c r="AR23" s="1463">
        <v>0</v>
      </c>
    </row>
    <row r="24" spans="1:44">
      <c r="A24" s="1460" t="s">
        <v>11</v>
      </c>
      <c r="B24" s="1463">
        <v>15429.2799172248</v>
      </c>
      <c r="C24" s="1463">
        <v>0</v>
      </c>
      <c r="D24" s="1463">
        <v>0</v>
      </c>
      <c r="E24" s="1463">
        <v>0</v>
      </c>
      <c r="F24" s="1463">
        <v>0</v>
      </c>
      <c r="G24" s="1463">
        <v>0</v>
      </c>
      <c r="H24" s="1463">
        <v>0</v>
      </c>
      <c r="I24" s="1463">
        <v>0</v>
      </c>
      <c r="J24" s="1463">
        <v>0</v>
      </c>
      <c r="K24" s="1463">
        <v>0</v>
      </c>
      <c r="L24" s="1463">
        <v>0</v>
      </c>
      <c r="M24" s="1463">
        <v>0</v>
      </c>
      <c r="N24" s="1463">
        <v>0</v>
      </c>
      <c r="O24" s="1463">
        <v>1764.62459194379</v>
      </c>
      <c r="P24" s="1463">
        <v>1764.62459194379</v>
      </c>
      <c r="Q24" s="1463">
        <v>1764.62459194379</v>
      </c>
      <c r="R24" s="1463">
        <v>1764.62459194379</v>
      </c>
      <c r="S24" s="1463">
        <v>1764.62459194379</v>
      </c>
      <c r="T24" s="1463">
        <v>1764.62459194379</v>
      </c>
      <c r="U24" s="1463">
        <v>1764.62459194379</v>
      </c>
      <c r="V24" s="1463">
        <v>3076.90777361825</v>
      </c>
      <c r="W24" s="1463">
        <v>0</v>
      </c>
      <c r="X24" s="1463">
        <v>0</v>
      </c>
      <c r="Y24" s="1463">
        <v>0</v>
      </c>
      <c r="Z24" s="1463">
        <v>0</v>
      </c>
      <c r="AA24" s="1463">
        <v>0</v>
      </c>
      <c r="AB24" s="1463">
        <v>0</v>
      </c>
      <c r="AC24" s="1463">
        <v>0</v>
      </c>
      <c r="AD24" s="1463">
        <v>0</v>
      </c>
      <c r="AE24" s="1463">
        <v>0</v>
      </c>
      <c r="AF24" s="1463">
        <v>0</v>
      </c>
      <c r="AG24" s="1463">
        <v>0</v>
      </c>
      <c r="AH24" s="1463">
        <v>0</v>
      </c>
      <c r="AI24" s="1463">
        <v>0</v>
      </c>
      <c r="AJ24" s="1463">
        <v>0</v>
      </c>
      <c r="AK24" s="1463">
        <v>0</v>
      </c>
      <c r="AL24" s="1463">
        <v>0</v>
      </c>
      <c r="AM24" s="1463">
        <v>0</v>
      </c>
      <c r="AN24" s="1463">
        <v>0</v>
      </c>
      <c r="AO24" s="1463">
        <v>0</v>
      </c>
      <c r="AP24" s="1463">
        <v>0</v>
      </c>
      <c r="AQ24" s="1463">
        <v>0</v>
      </c>
      <c r="AR24" s="1463">
        <v>0</v>
      </c>
    </row>
    <row r="25" outlineLevel="1" spans="1:44">
      <c r="A25" s="1457" t="s">
        <v>432</v>
      </c>
      <c r="B25" s="1458">
        <v>10111.4199448165</v>
      </c>
      <c r="C25" s="1464">
        <v>0</v>
      </c>
      <c r="D25" s="1464">
        <v>0</v>
      </c>
      <c r="E25" s="1464">
        <v>0</v>
      </c>
      <c r="F25" s="1464">
        <v>0</v>
      </c>
      <c r="G25" s="1464">
        <v>0</v>
      </c>
      <c r="H25" s="1464">
        <v>0</v>
      </c>
      <c r="I25" s="1464">
        <v>0</v>
      </c>
      <c r="J25" s="1464">
        <v>0</v>
      </c>
      <c r="K25" s="1464">
        <v>0</v>
      </c>
      <c r="L25" s="1464">
        <v>0</v>
      </c>
      <c r="M25" s="1464">
        <v>0</v>
      </c>
      <c r="N25" s="1464">
        <v>0</v>
      </c>
      <c r="O25" s="1464">
        <v>1156.42858187925</v>
      </c>
      <c r="P25" s="1464">
        <v>1156.42858187925</v>
      </c>
      <c r="Q25" s="1464">
        <v>1156.42858187925</v>
      </c>
      <c r="R25" s="1464">
        <v>1156.42858187925</v>
      </c>
      <c r="S25" s="1464">
        <v>1156.42858187925</v>
      </c>
      <c r="T25" s="1464">
        <v>1156.42858187925</v>
      </c>
      <c r="U25" s="1464">
        <v>1156.42858187925</v>
      </c>
      <c r="V25" s="1464">
        <v>2016.41987166182</v>
      </c>
      <c r="W25" s="1464">
        <v>0</v>
      </c>
      <c r="X25" s="1464">
        <v>0</v>
      </c>
      <c r="Y25" s="1464">
        <v>0</v>
      </c>
      <c r="Z25" s="1464">
        <v>0</v>
      </c>
      <c r="AA25" s="1464">
        <v>0</v>
      </c>
      <c r="AB25" s="1464">
        <v>0</v>
      </c>
      <c r="AC25" s="1464">
        <v>0</v>
      </c>
      <c r="AD25" s="1464">
        <v>0</v>
      </c>
      <c r="AE25" s="1464">
        <v>0</v>
      </c>
      <c r="AF25" s="1464">
        <v>0</v>
      </c>
      <c r="AG25" s="1464">
        <v>0</v>
      </c>
      <c r="AH25" s="1464">
        <v>0</v>
      </c>
      <c r="AI25" s="1464">
        <v>0</v>
      </c>
      <c r="AJ25" s="1464">
        <v>0</v>
      </c>
      <c r="AK25" s="1464">
        <v>0</v>
      </c>
      <c r="AL25" s="1464">
        <v>0</v>
      </c>
      <c r="AM25" s="1464">
        <v>0</v>
      </c>
      <c r="AN25" s="1464">
        <v>0</v>
      </c>
      <c r="AO25" s="1464">
        <v>0</v>
      </c>
      <c r="AP25" s="1464">
        <v>0</v>
      </c>
      <c r="AQ25" s="1464">
        <v>0</v>
      </c>
      <c r="AR25" s="1464">
        <v>0</v>
      </c>
    </row>
    <row r="26" outlineLevel="1" spans="1:44">
      <c r="A26" s="1457" t="s">
        <v>415</v>
      </c>
      <c r="B26" s="1458">
        <v>5317.85997240827</v>
      </c>
      <c r="C26" s="1464">
        <v>0</v>
      </c>
      <c r="D26" s="1464">
        <v>0</v>
      </c>
      <c r="E26" s="1464">
        <v>0</v>
      </c>
      <c r="F26" s="1464">
        <v>0</v>
      </c>
      <c r="G26" s="1464">
        <v>0</v>
      </c>
      <c r="H26" s="1464">
        <v>0</v>
      </c>
      <c r="I26" s="1464">
        <v>0</v>
      </c>
      <c r="J26" s="1464">
        <v>0</v>
      </c>
      <c r="K26" s="1464">
        <v>0</v>
      </c>
      <c r="L26" s="1464">
        <v>0</v>
      </c>
      <c r="M26" s="1464">
        <v>0</v>
      </c>
      <c r="N26" s="1464">
        <v>0</v>
      </c>
      <c r="O26" s="1464">
        <v>608.196010064548</v>
      </c>
      <c r="P26" s="1464">
        <v>608.196010064548</v>
      </c>
      <c r="Q26" s="1464">
        <v>608.196010064548</v>
      </c>
      <c r="R26" s="1464">
        <v>608.196010064548</v>
      </c>
      <c r="S26" s="1464">
        <v>608.196010064548</v>
      </c>
      <c r="T26" s="1464">
        <v>608.196010064548</v>
      </c>
      <c r="U26" s="1464">
        <v>608.196010064548</v>
      </c>
      <c r="V26" s="1464">
        <v>1060.48790195644</v>
      </c>
      <c r="W26" s="1464">
        <v>0</v>
      </c>
      <c r="X26" s="1464">
        <v>0</v>
      </c>
      <c r="Y26" s="1464">
        <v>0</v>
      </c>
      <c r="Z26" s="1464">
        <v>0</v>
      </c>
      <c r="AA26" s="1464">
        <v>0</v>
      </c>
      <c r="AB26" s="1464">
        <v>0</v>
      </c>
      <c r="AC26" s="1464">
        <v>0</v>
      </c>
      <c r="AD26" s="1464">
        <v>0</v>
      </c>
      <c r="AE26" s="1464">
        <v>0</v>
      </c>
      <c r="AF26" s="1464">
        <v>0</v>
      </c>
      <c r="AG26" s="1464">
        <v>0</v>
      </c>
      <c r="AH26" s="1464">
        <v>0</v>
      </c>
      <c r="AI26" s="1464">
        <v>0</v>
      </c>
      <c r="AJ26" s="1464">
        <v>0</v>
      </c>
      <c r="AK26" s="1464">
        <v>0</v>
      </c>
      <c r="AL26" s="1464">
        <v>0</v>
      </c>
      <c r="AM26" s="1464">
        <v>0</v>
      </c>
      <c r="AN26" s="1464">
        <v>0</v>
      </c>
      <c r="AO26" s="1464">
        <v>0</v>
      </c>
      <c r="AP26" s="1464">
        <v>0</v>
      </c>
      <c r="AQ26" s="1464">
        <v>0</v>
      </c>
      <c r="AR26" s="1464">
        <v>0</v>
      </c>
    </row>
    <row r="27" spans="1:44">
      <c r="A27" s="1460" t="s">
        <v>416</v>
      </c>
      <c r="B27" s="1458">
        <v>45439.2847597279</v>
      </c>
      <c r="C27" s="1463">
        <v>0</v>
      </c>
      <c r="D27" s="1463">
        <v>0</v>
      </c>
      <c r="E27" s="1463">
        <v>0</v>
      </c>
      <c r="F27" s="1463">
        <v>0</v>
      </c>
      <c r="G27" s="1463">
        <v>0</v>
      </c>
      <c r="H27" s="1463">
        <v>0</v>
      </c>
      <c r="I27" s="1463">
        <v>0</v>
      </c>
      <c r="J27" s="1463">
        <v>0</v>
      </c>
      <c r="K27" s="1463">
        <v>0</v>
      </c>
      <c r="L27" s="1463">
        <v>0</v>
      </c>
      <c r="M27" s="1463">
        <v>0</v>
      </c>
      <c r="N27" s="1463">
        <v>0</v>
      </c>
      <c r="O27" s="1463">
        <v>-1764.62459194379</v>
      </c>
      <c r="P27" s="1463">
        <v>-1764.62459194379</v>
      </c>
      <c r="Q27" s="1463">
        <v>-1764.62459194379</v>
      </c>
      <c r="R27" s="1463">
        <v>-1764.62459194379</v>
      </c>
      <c r="S27" s="1463">
        <v>-1764.62459194379</v>
      </c>
      <c r="T27" s="1463">
        <v>26890.1573045179</v>
      </c>
      <c r="U27" s="1463">
        <v>-1764.62459194379</v>
      </c>
      <c r="V27" s="1463">
        <v>-3076.90777361825</v>
      </c>
      <c r="W27" s="1463">
        <v>0</v>
      </c>
      <c r="X27" s="1463">
        <v>32213.782780491</v>
      </c>
      <c r="Y27" s="1463">
        <v>0</v>
      </c>
      <c r="Z27" s="1463">
        <v>0</v>
      </c>
      <c r="AA27" s="1463">
        <v>0</v>
      </c>
      <c r="AB27" s="1463">
        <v>0</v>
      </c>
      <c r="AC27" s="1463">
        <v>0</v>
      </c>
      <c r="AD27" s="1463">
        <v>0</v>
      </c>
      <c r="AE27" s="1463">
        <v>0</v>
      </c>
      <c r="AF27" s="1463">
        <v>0</v>
      </c>
      <c r="AG27" s="1463">
        <v>0</v>
      </c>
      <c r="AH27" s="1463">
        <v>0</v>
      </c>
      <c r="AI27" s="1463">
        <v>0</v>
      </c>
      <c r="AJ27" s="1463">
        <v>0</v>
      </c>
      <c r="AK27" s="1463">
        <v>0</v>
      </c>
      <c r="AL27" s="1463">
        <v>0</v>
      </c>
      <c r="AM27" s="1463">
        <v>0</v>
      </c>
      <c r="AN27" s="1463">
        <v>0</v>
      </c>
      <c r="AO27" s="1463">
        <v>0</v>
      </c>
      <c r="AP27" s="1463">
        <v>0</v>
      </c>
      <c r="AQ27" s="1463">
        <v>0</v>
      </c>
      <c r="AR27" s="1463">
        <v>0</v>
      </c>
    </row>
    <row r="28" spans="1:44">
      <c r="A28" s="1460" t="s">
        <v>404</v>
      </c>
      <c r="B28" s="1458">
        <v>11359.821189932</v>
      </c>
      <c r="C28" s="1465">
        <v>0</v>
      </c>
      <c r="D28" s="1465">
        <v>0</v>
      </c>
      <c r="E28" s="1465">
        <v>0</v>
      </c>
      <c r="F28" s="1465">
        <v>0</v>
      </c>
      <c r="G28" s="1465">
        <v>0</v>
      </c>
      <c r="H28" s="1465">
        <v>0</v>
      </c>
      <c r="I28" s="1465">
        <v>0</v>
      </c>
      <c r="J28" s="1465">
        <v>0</v>
      </c>
      <c r="K28" s="1465">
        <v>0</v>
      </c>
      <c r="L28" s="1465">
        <v>0</v>
      </c>
      <c r="M28" s="1465">
        <v>0</v>
      </c>
      <c r="N28" s="1465">
        <v>0</v>
      </c>
      <c r="O28" s="1465">
        <v>-441.156147985949</v>
      </c>
      <c r="P28" s="1465">
        <v>-441.156147985949</v>
      </c>
      <c r="Q28" s="1465">
        <v>-441.156147985949</v>
      </c>
      <c r="R28" s="1465">
        <v>-441.156147985949</v>
      </c>
      <c r="S28" s="1465">
        <v>-441.156147985949</v>
      </c>
      <c r="T28" s="1465">
        <v>6722.53932612948</v>
      </c>
      <c r="U28" s="1465">
        <v>-441.156147985949</v>
      </c>
      <c r="V28" s="1465">
        <v>-769.226943404564</v>
      </c>
      <c r="W28" s="1465">
        <v>0</v>
      </c>
      <c r="X28" s="1465">
        <v>8053.44569512276</v>
      </c>
      <c r="Y28" s="1465">
        <v>0</v>
      </c>
      <c r="Z28" s="1465">
        <v>0</v>
      </c>
      <c r="AA28" s="1465">
        <v>0</v>
      </c>
      <c r="AB28" s="1465">
        <v>0</v>
      </c>
      <c r="AC28" s="1465">
        <v>0</v>
      </c>
      <c r="AD28" s="1465">
        <v>0</v>
      </c>
      <c r="AE28" s="1465">
        <v>0</v>
      </c>
      <c r="AF28" s="1465">
        <v>0</v>
      </c>
      <c r="AG28" s="1465">
        <v>0</v>
      </c>
      <c r="AH28" s="1465">
        <v>0</v>
      </c>
      <c r="AI28" s="1465">
        <v>0</v>
      </c>
      <c r="AJ28" s="1465">
        <v>0</v>
      </c>
      <c r="AK28" s="1465">
        <v>0</v>
      </c>
      <c r="AL28" s="1465">
        <v>0</v>
      </c>
      <c r="AM28" s="1465">
        <v>0</v>
      </c>
      <c r="AN28" s="1465">
        <v>0</v>
      </c>
      <c r="AO28" s="1465">
        <v>0</v>
      </c>
      <c r="AP28" s="1465">
        <v>0</v>
      </c>
      <c r="AQ28" s="1465">
        <v>0</v>
      </c>
      <c r="AR28" s="1465">
        <v>0</v>
      </c>
    </row>
    <row r="29" spans="1:44">
      <c r="A29" s="1460" t="s">
        <v>417</v>
      </c>
      <c r="B29" s="1458">
        <v>34079.463569796</v>
      </c>
      <c r="C29" s="1463">
        <v>0</v>
      </c>
      <c r="D29" s="1463">
        <v>0</v>
      </c>
      <c r="E29" s="1463">
        <v>0</v>
      </c>
      <c r="F29" s="1463">
        <v>0</v>
      </c>
      <c r="G29" s="1463">
        <v>0</v>
      </c>
      <c r="H29" s="1463">
        <v>0</v>
      </c>
      <c r="I29" s="1463">
        <v>0</v>
      </c>
      <c r="J29" s="1463">
        <v>0</v>
      </c>
      <c r="K29" s="1463">
        <v>0</v>
      </c>
      <c r="L29" s="1463">
        <v>0</v>
      </c>
      <c r="M29" s="1463">
        <v>0</v>
      </c>
      <c r="N29" s="1463">
        <v>0</v>
      </c>
      <c r="O29" s="1463">
        <v>-1323.46844395785</v>
      </c>
      <c r="P29" s="1463">
        <v>-1323.46844395785</v>
      </c>
      <c r="Q29" s="1463">
        <v>-1323.46844395785</v>
      </c>
      <c r="R29" s="1463">
        <v>-1323.46844395785</v>
      </c>
      <c r="S29" s="1463">
        <v>-1323.46844395785</v>
      </c>
      <c r="T29" s="1463">
        <v>20167.6179783884</v>
      </c>
      <c r="U29" s="1463">
        <v>-1323.46844395785</v>
      </c>
      <c r="V29" s="1463">
        <v>-2307.68083021369</v>
      </c>
      <c r="W29" s="1463">
        <v>0</v>
      </c>
      <c r="X29" s="1463">
        <v>24160.3370853683</v>
      </c>
      <c r="Y29" s="1463">
        <v>0</v>
      </c>
      <c r="Z29" s="1463">
        <v>0</v>
      </c>
      <c r="AA29" s="1463">
        <v>0</v>
      </c>
      <c r="AB29" s="1463">
        <v>0</v>
      </c>
      <c r="AC29" s="1463">
        <v>0</v>
      </c>
      <c r="AD29" s="1463">
        <v>0</v>
      </c>
      <c r="AE29" s="1463">
        <v>0</v>
      </c>
      <c r="AF29" s="1463">
        <v>0</v>
      </c>
      <c r="AG29" s="1463">
        <v>0</v>
      </c>
      <c r="AH29" s="1463">
        <v>0</v>
      </c>
      <c r="AI29" s="1463">
        <v>0</v>
      </c>
      <c r="AJ29" s="1463">
        <v>0</v>
      </c>
      <c r="AK29" s="1463">
        <v>0</v>
      </c>
      <c r="AL29" s="1463">
        <v>0</v>
      </c>
      <c r="AM29" s="1463">
        <v>0</v>
      </c>
      <c r="AN29" s="1463">
        <v>0</v>
      </c>
      <c r="AO29" s="1463">
        <v>0</v>
      </c>
      <c r="AP29" s="1463">
        <v>0</v>
      </c>
      <c r="AQ29" s="1463">
        <v>0</v>
      </c>
      <c r="AR29" s="1463">
        <v>0</v>
      </c>
    </row>
    <row r="30" s="1445" customFormat="1" spans="1:44">
      <c r="A30" s="1466"/>
      <c r="B30" s="1467"/>
      <c r="C30" s="1468"/>
      <c r="D30" s="1468"/>
      <c r="E30" s="1468"/>
      <c r="F30" s="1468"/>
      <c r="G30" s="1468"/>
      <c r="H30" s="1468"/>
      <c r="I30" s="1468"/>
      <c r="J30" s="1468"/>
      <c r="K30" s="1468"/>
      <c r="L30" s="1468"/>
      <c r="M30" s="1468"/>
      <c r="N30" s="1468"/>
      <c r="O30" s="1468"/>
      <c r="P30" s="1468"/>
      <c r="Q30" s="1468"/>
      <c r="R30" s="1468"/>
      <c r="S30" s="1468"/>
      <c r="T30" s="1468"/>
      <c r="U30" s="1468"/>
      <c r="V30" s="1468"/>
      <c r="W30" s="1468"/>
      <c r="X30" s="1468"/>
      <c r="Y30" s="1468"/>
      <c r="Z30" s="1468"/>
      <c r="AA30" s="1468"/>
      <c r="AB30" s="1468"/>
      <c r="AC30" s="1468"/>
      <c r="AD30" s="1468"/>
      <c r="AE30" s="1468"/>
      <c r="AF30" s="1468"/>
      <c r="AG30" s="1468"/>
      <c r="AH30" s="1468"/>
      <c r="AI30" s="1468"/>
      <c r="AJ30" s="1468"/>
      <c r="AK30" s="1468"/>
      <c r="AL30" s="1468"/>
      <c r="AM30" s="1468"/>
      <c r="AN30" s="1468"/>
      <c r="AO30" s="1468"/>
      <c r="AP30" s="1468"/>
      <c r="AQ30" s="1468"/>
      <c r="AR30" s="1468"/>
    </row>
    <row r="31" spans="1:44">
      <c r="A31" s="1460" t="s">
        <v>418</v>
      </c>
      <c r="B31" s="1469">
        <v>2975.82518722641</v>
      </c>
      <c r="C31" s="1448"/>
      <c r="D31" s="1448"/>
      <c r="E31" s="1448"/>
      <c r="F31" s="1448"/>
      <c r="G31" s="1448"/>
      <c r="H31" s="1448"/>
      <c r="I31" s="1448"/>
      <c r="J31" s="1448"/>
      <c r="K31" s="1448"/>
      <c r="L31" s="1448"/>
      <c r="M31" s="1448"/>
      <c r="N31" s="1448"/>
      <c r="O31" s="1448"/>
      <c r="P31" s="1448"/>
      <c r="Q31" s="1448"/>
      <c r="R31" s="1448"/>
      <c r="S31" s="1448"/>
      <c r="T31" s="1448"/>
      <c r="U31" s="1448"/>
      <c r="V31" s="1448"/>
      <c r="W31" s="1448"/>
      <c r="X31" s="1448"/>
      <c r="Y31" s="1448"/>
      <c r="Z31" s="1448"/>
      <c r="AA31" s="1448"/>
      <c r="AB31" s="1448"/>
      <c r="AC31" s="1448"/>
      <c r="AD31" s="1448"/>
      <c r="AE31" s="1448"/>
      <c r="AF31" s="1448"/>
      <c r="AG31" s="1448"/>
      <c r="AH31" s="1448"/>
      <c r="AI31" s="1448"/>
      <c r="AJ31" s="1448"/>
      <c r="AK31" s="1448"/>
      <c r="AL31" s="1448"/>
      <c r="AM31" s="1448"/>
      <c r="AN31" s="1448"/>
      <c r="AO31" s="1448"/>
      <c r="AP31" s="1448"/>
      <c r="AQ31" s="1448"/>
      <c r="AR31" s="1448"/>
    </row>
    <row r="32" spans="1:44">
      <c r="A32" s="1460" t="s">
        <v>419</v>
      </c>
      <c r="B32" s="1465">
        <v>1666.1231720577</v>
      </c>
      <c r="C32" s="1448"/>
      <c r="D32" s="1448"/>
      <c r="E32" s="1448"/>
      <c r="F32" s="1448"/>
      <c r="G32" s="1448"/>
      <c r="H32" s="1448"/>
      <c r="I32" s="1448"/>
      <c r="J32" s="1448"/>
      <c r="K32" s="1448"/>
      <c r="L32" s="1448"/>
      <c r="M32" s="1448"/>
      <c r="N32" s="1448"/>
      <c r="O32" s="1448"/>
      <c r="P32" s="1448"/>
      <c r="Q32" s="1448"/>
      <c r="R32" s="1448"/>
      <c r="S32" s="1448"/>
      <c r="T32" s="1448"/>
      <c r="U32" s="1448"/>
      <c r="V32" s="1448"/>
      <c r="W32" s="1448"/>
      <c r="X32" s="1448"/>
      <c r="Y32" s="1448"/>
      <c r="Z32" s="1448"/>
      <c r="AA32" s="1448"/>
      <c r="AB32" s="1448"/>
      <c r="AC32" s="1448"/>
      <c r="AD32" s="1448"/>
      <c r="AE32" s="1448"/>
      <c r="AF32" s="1448"/>
      <c r="AG32" s="1448"/>
      <c r="AH32" s="1448"/>
      <c r="AI32" s="1448"/>
      <c r="AJ32" s="1448"/>
      <c r="AK32" s="1448"/>
      <c r="AL32" s="1448"/>
      <c r="AM32" s="1448"/>
      <c r="AN32" s="1448"/>
      <c r="AO32" s="1448"/>
      <c r="AP32" s="1448"/>
      <c r="AQ32" s="1448"/>
      <c r="AR32" s="1448"/>
    </row>
    <row r="33" spans="1:44">
      <c r="A33" s="1460" t="s">
        <v>420</v>
      </c>
      <c r="B33" s="1470">
        <v>0.263259468063036</v>
      </c>
      <c r="C33" s="1448"/>
      <c r="D33" s="1448"/>
      <c r="E33" s="1448"/>
      <c r="F33" s="1448"/>
      <c r="G33" s="1448"/>
      <c r="H33" s="1448"/>
      <c r="I33" s="1448"/>
      <c r="J33" s="1448"/>
      <c r="K33" s="1448"/>
      <c r="L33" s="1448"/>
      <c r="M33" s="1448"/>
      <c r="N33" s="1448"/>
      <c r="O33" s="1448"/>
      <c r="P33" s="1448"/>
      <c r="Q33" s="1448"/>
      <c r="R33" s="1448"/>
      <c r="S33" s="1448"/>
      <c r="T33" s="1448"/>
      <c r="U33" s="1448"/>
      <c r="V33" s="1448"/>
      <c r="W33" s="1448"/>
      <c r="X33" s="1448"/>
      <c r="Y33" s="1448"/>
      <c r="Z33" s="1448"/>
      <c r="AA33" s="1448"/>
      <c r="AB33" s="1448"/>
      <c r="AC33" s="1448"/>
      <c r="AD33" s="1448"/>
      <c r="AE33" s="1448"/>
      <c r="AF33" s="1448"/>
      <c r="AG33" s="1448"/>
      <c r="AH33" s="1448"/>
      <c r="AI33" s="1448"/>
      <c r="AJ33" s="1448"/>
      <c r="AK33" s="1448"/>
      <c r="AL33" s="1448"/>
      <c r="AM33" s="1448"/>
      <c r="AN33" s="1448"/>
      <c r="AO33" s="1448"/>
      <c r="AP33" s="1448"/>
      <c r="AQ33" s="1448"/>
      <c r="AR33" s="1448"/>
    </row>
    <row r="34" spans="1:44">
      <c r="A34" s="1460" t="s">
        <v>421</v>
      </c>
      <c r="B34" s="1470">
        <v>0.147395318073849</v>
      </c>
      <c r="C34" s="1448"/>
      <c r="D34" s="1448"/>
      <c r="E34" s="1448"/>
      <c r="F34" s="1448"/>
      <c r="G34" s="1448"/>
      <c r="H34" s="1448"/>
      <c r="I34" s="1448"/>
      <c r="J34" s="1448"/>
      <c r="K34" s="1448"/>
      <c r="L34" s="1448"/>
      <c r="M34" s="1448"/>
      <c r="N34" s="1448"/>
      <c r="O34" s="1448"/>
      <c r="P34" s="1448"/>
      <c r="Q34" s="1448"/>
      <c r="R34" s="1448"/>
      <c r="S34" s="1448"/>
      <c r="T34" s="1448"/>
      <c r="U34" s="1448"/>
      <c r="V34" s="1448"/>
      <c r="W34" s="1448"/>
      <c r="X34" s="1448"/>
      <c r="Y34" s="1448"/>
      <c r="Z34" s="1448"/>
      <c r="AA34" s="1448"/>
      <c r="AB34" s="1448"/>
      <c r="AC34" s="1448"/>
      <c r="AD34" s="1448"/>
      <c r="AE34" s="1448"/>
      <c r="AF34" s="1448"/>
      <c r="AG34" s="1448"/>
      <c r="AH34" s="1448"/>
      <c r="AI34" s="1448"/>
      <c r="AJ34" s="1448"/>
      <c r="AK34" s="1448"/>
      <c r="AL34" s="1448"/>
      <c r="AM34" s="1448"/>
      <c r="AN34" s="1448"/>
      <c r="AO34" s="1448"/>
      <c r="AP34" s="1448"/>
      <c r="AQ34" s="1448"/>
      <c r="AR34" s="1448"/>
    </row>
    <row r="36" spans="1:44">
      <c r="A36" s="1449" t="s">
        <v>1</v>
      </c>
      <c r="B36" s="1471" t="s">
        <v>2</v>
      </c>
      <c r="C36" s="1451" t="s">
        <v>290</v>
      </c>
      <c r="D36" s="1451" t="s">
        <v>291</v>
      </c>
      <c r="E36" s="1451" t="s">
        <v>291</v>
      </c>
      <c r="F36" s="1451" t="s">
        <v>291</v>
      </c>
      <c r="G36" s="1451" t="s">
        <v>291</v>
      </c>
      <c r="H36" s="1451" t="s">
        <v>292</v>
      </c>
      <c r="I36" s="1451" t="s">
        <v>292</v>
      </c>
      <c r="J36" s="1451" t="s">
        <v>292</v>
      </c>
      <c r="K36" s="1451" t="s">
        <v>292</v>
      </c>
      <c r="L36" s="1451" t="s">
        <v>293</v>
      </c>
      <c r="M36" s="1451" t="s">
        <v>293</v>
      </c>
      <c r="N36" s="1451" t="s">
        <v>293</v>
      </c>
      <c r="O36" s="1451" t="s">
        <v>293</v>
      </c>
      <c r="P36" s="1451" t="s">
        <v>294</v>
      </c>
      <c r="Q36" s="1451" t="s">
        <v>294</v>
      </c>
      <c r="R36" s="1451" t="s">
        <v>294</v>
      </c>
      <c r="S36" s="1451" t="s">
        <v>294</v>
      </c>
      <c r="T36" s="1451" t="s">
        <v>295</v>
      </c>
      <c r="U36" s="1451" t="s">
        <v>295</v>
      </c>
      <c r="V36" s="1451" t="s">
        <v>295</v>
      </c>
      <c r="W36" s="1451" t="s">
        <v>295</v>
      </c>
      <c r="X36" s="1451" t="s">
        <v>296</v>
      </c>
      <c r="Y36" s="1451" t="s">
        <v>296</v>
      </c>
      <c r="Z36" s="1451" t="s">
        <v>296</v>
      </c>
      <c r="AA36" s="1451" t="s">
        <v>296</v>
      </c>
      <c r="AB36" s="1451" t="s">
        <v>297</v>
      </c>
      <c r="AC36" s="1451" t="s">
        <v>297</v>
      </c>
      <c r="AD36" s="1451" t="s">
        <v>297</v>
      </c>
      <c r="AE36" s="1451" t="s">
        <v>297</v>
      </c>
      <c r="AF36" s="1451" t="s">
        <v>298</v>
      </c>
      <c r="AG36" s="1451" t="s">
        <v>298</v>
      </c>
      <c r="AH36" s="1451" t="s">
        <v>298</v>
      </c>
      <c r="AI36" s="1451" t="s">
        <v>298</v>
      </c>
      <c r="AJ36" s="1451" t="s">
        <v>299</v>
      </c>
      <c r="AK36" s="1451" t="s">
        <v>299</v>
      </c>
      <c r="AL36" s="1451" t="s">
        <v>299</v>
      </c>
      <c r="AM36" s="1451" t="s">
        <v>299</v>
      </c>
      <c r="AN36" s="1451" t="s">
        <v>300</v>
      </c>
      <c r="AO36" s="1451" t="s">
        <v>300</v>
      </c>
      <c r="AP36" s="1451" t="s">
        <v>300</v>
      </c>
      <c r="AQ36" s="1451" t="s">
        <v>300</v>
      </c>
      <c r="AR36" s="1451" t="s">
        <v>406</v>
      </c>
    </row>
    <row r="37" spans="1:44">
      <c r="A37" s="1452"/>
      <c r="B37" s="1472"/>
      <c r="C37" s="1454" t="s">
        <v>120</v>
      </c>
      <c r="D37" s="1454" t="s">
        <v>121</v>
      </c>
      <c r="E37" s="1454" t="s">
        <v>122</v>
      </c>
      <c r="F37" s="1454" t="s">
        <v>123</v>
      </c>
      <c r="G37" s="1454" t="s">
        <v>124</v>
      </c>
      <c r="H37" s="1454" t="s">
        <v>125</v>
      </c>
      <c r="I37" s="1454" t="s">
        <v>126</v>
      </c>
      <c r="J37" s="1454" t="s">
        <v>127</v>
      </c>
      <c r="K37" s="1454" t="s">
        <v>128</v>
      </c>
      <c r="L37" s="1454" t="s">
        <v>129</v>
      </c>
      <c r="M37" s="1454" t="s">
        <v>130</v>
      </c>
      <c r="N37" s="1454" t="s">
        <v>131</v>
      </c>
      <c r="O37" s="1454" t="s">
        <v>132</v>
      </c>
      <c r="P37" s="1454" t="s">
        <v>133</v>
      </c>
      <c r="Q37" s="1454" t="s">
        <v>134</v>
      </c>
      <c r="R37" s="1454" t="s">
        <v>135</v>
      </c>
      <c r="S37" s="1454" t="s">
        <v>136</v>
      </c>
      <c r="T37" s="1454" t="s">
        <v>137</v>
      </c>
      <c r="U37" s="1454" t="s">
        <v>138</v>
      </c>
      <c r="V37" s="1454" t="s">
        <v>302</v>
      </c>
      <c r="W37" s="1454" t="s">
        <v>303</v>
      </c>
      <c r="X37" s="1454" t="s">
        <v>271</v>
      </c>
      <c r="Y37" s="1454" t="s">
        <v>264</v>
      </c>
      <c r="Z37" s="1454" t="s">
        <v>304</v>
      </c>
      <c r="AA37" s="1454" t="s">
        <v>305</v>
      </c>
      <c r="AB37" s="1454" t="s">
        <v>306</v>
      </c>
      <c r="AC37" s="1454" t="s">
        <v>307</v>
      </c>
      <c r="AD37" s="1454" t="s">
        <v>308</v>
      </c>
      <c r="AE37" s="1454" t="s">
        <v>309</v>
      </c>
      <c r="AF37" s="1454" t="s">
        <v>310</v>
      </c>
      <c r="AG37" s="1454" t="s">
        <v>311</v>
      </c>
      <c r="AH37" s="1454" t="s">
        <v>312</v>
      </c>
      <c r="AI37" s="1454" t="s">
        <v>313</v>
      </c>
      <c r="AJ37" s="1454" t="s">
        <v>314</v>
      </c>
      <c r="AK37" s="1454" t="s">
        <v>315</v>
      </c>
      <c r="AL37" s="1454" t="s">
        <v>316</v>
      </c>
      <c r="AM37" s="1454" t="s">
        <v>317</v>
      </c>
      <c r="AN37" s="1454" t="s">
        <v>318</v>
      </c>
      <c r="AO37" s="1454" t="s">
        <v>319</v>
      </c>
      <c r="AP37" s="1454" t="s">
        <v>320</v>
      </c>
      <c r="AQ37" s="1454" t="s">
        <v>321</v>
      </c>
      <c r="AR37" s="1454" t="s">
        <v>407</v>
      </c>
    </row>
    <row r="38" spans="1:44">
      <c r="A38" s="1473" t="s">
        <v>50</v>
      </c>
      <c r="B38" s="1447" t="s">
        <v>202</v>
      </c>
      <c r="C38" s="1447">
        <v>0</v>
      </c>
      <c r="D38" s="1447">
        <v>0</v>
      </c>
      <c r="E38" s="1447">
        <v>0</v>
      </c>
      <c r="F38" s="1447">
        <v>0</v>
      </c>
      <c r="G38" s="1447">
        <v>0</v>
      </c>
      <c r="H38" s="1447">
        <v>0</v>
      </c>
      <c r="I38" s="1447">
        <v>0</v>
      </c>
      <c r="J38" s="1447">
        <v>0</v>
      </c>
      <c r="K38" s="1447">
        <v>0</v>
      </c>
      <c r="L38" s="1447">
        <v>0</v>
      </c>
      <c r="M38" s="1447">
        <v>0</v>
      </c>
      <c r="N38" s="1447">
        <v>0</v>
      </c>
      <c r="O38" s="1447">
        <v>0</v>
      </c>
      <c r="P38" s="1447">
        <v>0</v>
      </c>
      <c r="Q38" s="1447">
        <v>0</v>
      </c>
      <c r="R38" s="1447">
        <v>0</v>
      </c>
      <c r="S38" s="1447">
        <v>0</v>
      </c>
      <c r="T38" s="1447">
        <v>576.741193381094</v>
      </c>
      <c r="U38" s="1447">
        <v>0</v>
      </c>
      <c r="V38" s="1447">
        <v>0</v>
      </c>
      <c r="W38" s="1447">
        <v>0</v>
      </c>
      <c r="X38" s="1447">
        <v>0</v>
      </c>
      <c r="Y38" s="1447">
        <v>0</v>
      </c>
      <c r="Z38" s="1447">
        <v>0</v>
      </c>
      <c r="AA38" s="1447">
        <v>0</v>
      </c>
      <c r="AB38" s="1447">
        <v>0</v>
      </c>
      <c r="AC38" s="1447">
        <v>0</v>
      </c>
      <c r="AD38" s="1447">
        <v>0</v>
      </c>
      <c r="AE38" s="1447">
        <v>0</v>
      </c>
      <c r="AF38" s="1447">
        <v>0</v>
      </c>
      <c r="AG38" s="1447">
        <v>0</v>
      </c>
      <c r="AH38" s="1447">
        <v>0</v>
      </c>
      <c r="AI38" s="1447">
        <v>0</v>
      </c>
      <c r="AJ38" s="1447">
        <v>0</v>
      </c>
      <c r="AK38" s="1447">
        <v>0</v>
      </c>
      <c r="AL38" s="1447">
        <v>0</v>
      </c>
      <c r="AM38" s="1447">
        <v>0</v>
      </c>
      <c r="AN38" s="1447">
        <v>0</v>
      </c>
      <c r="AO38" s="1447">
        <v>0</v>
      </c>
      <c r="AP38" s="1447">
        <v>0</v>
      </c>
      <c r="AQ38" s="1447">
        <v>0</v>
      </c>
      <c r="AR38" s="1447">
        <v>0</v>
      </c>
    </row>
    <row r="39" spans="1:44">
      <c r="A39" s="1473" t="s">
        <v>50</v>
      </c>
      <c r="B39" s="1447" t="s">
        <v>195</v>
      </c>
      <c r="C39" s="1447">
        <v>0</v>
      </c>
      <c r="D39" s="1447">
        <v>0</v>
      </c>
      <c r="E39" s="1447">
        <v>0</v>
      </c>
      <c r="F39" s="1447">
        <v>0</v>
      </c>
      <c r="G39" s="1447">
        <v>0</v>
      </c>
      <c r="H39" s="1447">
        <v>0</v>
      </c>
      <c r="I39" s="1447">
        <v>0</v>
      </c>
      <c r="J39" s="1447">
        <v>0</v>
      </c>
      <c r="K39" s="1447">
        <v>0</v>
      </c>
      <c r="L39" s="1447">
        <v>0</v>
      </c>
      <c r="M39" s="1447">
        <v>0</v>
      </c>
      <c r="N39" s="1447">
        <v>0</v>
      </c>
      <c r="O39" s="1447">
        <v>0</v>
      </c>
      <c r="P39" s="1447">
        <v>0</v>
      </c>
      <c r="Q39" s="1447">
        <v>0</v>
      </c>
      <c r="R39" s="1447">
        <v>0</v>
      </c>
      <c r="S39" s="1447">
        <v>0</v>
      </c>
      <c r="T39" s="1447">
        <v>93600</v>
      </c>
      <c r="U39" s="1447">
        <v>0</v>
      </c>
      <c r="V39" s="1447">
        <v>0</v>
      </c>
      <c r="W39" s="1447">
        <v>0</v>
      </c>
      <c r="X39" s="1447">
        <v>0</v>
      </c>
      <c r="Y39" s="1447">
        <v>0</v>
      </c>
      <c r="Z39" s="1447">
        <v>0</v>
      </c>
      <c r="AA39" s="1447">
        <v>0</v>
      </c>
      <c r="AB39" s="1447">
        <v>0</v>
      </c>
      <c r="AC39" s="1447">
        <v>0</v>
      </c>
      <c r="AD39" s="1447">
        <v>0</v>
      </c>
      <c r="AE39" s="1447">
        <v>0</v>
      </c>
      <c r="AF39" s="1447">
        <v>0</v>
      </c>
      <c r="AG39" s="1447">
        <v>0</v>
      </c>
      <c r="AH39" s="1447">
        <v>0</v>
      </c>
      <c r="AI39" s="1447">
        <v>0</v>
      </c>
      <c r="AJ39" s="1447">
        <v>0</v>
      </c>
      <c r="AK39" s="1447">
        <v>0</v>
      </c>
      <c r="AL39" s="1447">
        <v>0</v>
      </c>
      <c r="AM39" s="1447">
        <v>0</v>
      </c>
      <c r="AN39" s="1447">
        <v>0</v>
      </c>
      <c r="AO39" s="1447">
        <v>0</v>
      </c>
      <c r="AP39" s="1447">
        <v>0</v>
      </c>
      <c r="AQ39" s="1447">
        <v>0</v>
      </c>
      <c r="AR39" s="1447">
        <v>0</v>
      </c>
    </row>
    <row r="40" spans="1:44">
      <c r="A40" s="1473" t="s">
        <v>50</v>
      </c>
      <c r="B40" s="1474" t="s">
        <v>63</v>
      </c>
      <c r="C40" s="1447">
        <v>0</v>
      </c>
      <c r="D40" s="1447">
        <v>0</v>
      </c>
      <c r="E40" s="1447">
        <v>0</v>
      </c>
      <c r="F40" s="1447">
        <v>0</v>
      </c>
      <c r="G40" s="1447">
        <v>0</v>
      </c>
      <c r="H40" s="1447">
        <v>0</v>
      </c>
      <c r="I40" s="1447">
        <v>0</v>
      </c>
      <c r="J40" s="1447">
        <v>0</v>
      </c>
      <c r="K40" s="1447">
        <v>0</v>
      </c>
      <c r="L40" s="1447">
        <v>0</v>
      </c>
      <c r="M40" s="1447">
        <v>0</v>
      </c>
      <c r="N40" s="1447">
        <v>0</v>
      </c>
      <c r="O40" s="1447">
        <v>0</v>
      </c>
      <c r="P40" s="1447">
        <v>0</v>
      </c>
      <c r="Q40" s="1447">
        <v>0</v>
      </c>
      <c r="R40" s="1447">
        <v>0</v>
      </c>
      <c r="S40" s="1447">
        <v>0</v>
      </c>
      <c r="T40" s="1447">
        <v>0</v>
      </c>
      <c r="U40" s="1447">
        <v>0</v>
      </c>
      <c r="V40" s="1447">
        <v>0</v>
      </c>
      <c r="W40" s="1447">
        <v>0</v>
      </c>
      <c r="X40" s="1447">
        <v>0</v>
      </c>
      <c r="Y40" s="1447">
        <v>0</v>
      </c>
      <c r="Z40" s="1447">
        <v>0</v>
      </c>
      <c r="AA40" s="1447">
        <v>0</v>
      </c>
      <c r="AB40" s="1447">
        <v>0</v>
      </c>
      <c r="AC40" s="1447">
        <v>0</v>
      </c>
      <c r="AD40" s="1447">
        <v>0</v>
      </c>
      <c r="AE40" s="1447">
        <v>0</v>
      </c>
      <c r="AF40" s="1447">
        <v>0</v>
      </c>
      <c r="AG40" s="1447">
        <v>0</v>
      </c>
      <c r="AH40" s="1447">
        <v>0</v>
      </c>
      <c r="AI40" s="1447">
        <v>0</v>
      </c>
      <c r="AJ40" s="1447">
        <v>0</v>
      </c>
      <c r="AK40" s="1447">
        <v>0</v>
      </c>
      <c r="AL40" s="1447">
        <v>0</v>
      </c>
      <c r="AM40" s="1447">
        <v>0</v>
      </c>
      <c r="AN40" s="1447">
        <v>0</v>
      </c>
      <c r="AO40" s="1447">
        <v>0</v>
      </c>
      <c r="AP40" s="1447">
        <v>0</v>
      </c>
      <c r="AQ40" s="1447">
        <v>0</v>
      </c>
      <c r="AR40" s="1447">
        <v>0</v>
      </c>
    </row>
    <row r="41" spans="1:44">
      <c r="A41" s="1473" t="s">
        <v>50</v>
      </c>
      <c r="B41" s="1474" t="s">
        <v>199</v>
      </c>
      <c r="C41" s="1447">
        <v>0</v>
      </c>
      <c r="D41" s="1447">
        <v>0</v>
      </c>
      <c r="E41" s="1447">
        <v>0</v>
      </c>
      <c r="F41" s="1447">
        <v>0</v>
      </c>
      <c r="G41" s="1447">
        <v>0</v>
      </c>
      <c r="H41" s="1447">
        <v>0</v>
      </c>
      <c r="I41" s="1447">
        <v>0</v>
      </c>
      <c r="J41" s="1447">
        <v>0</v>
      </c>
      <c r="K41" s="1447">
        <v>0</v>
      </c>
      <c r="L41" s="1447">
        <v>0</v>
      </c>
      <c r="M41" s="1447">
        <v>0</v>
      </c>
      <c r="N41" s="1447">
        <v>0</v>
      </c>
      <c r="O41" s="1447">
        <v>0</v>
      </c>
      <c r="P41" s="1447">
        <v>0</v>
      </c>
      <c r="Q41" s="1447">
        <v>0</v>
      </c>
      <c r="R41" s="1447">
        <v>0</v>
      </c>
      <c r="S41" s="1447">
        <v>0</v>
      </c>
      <c r="T41" s="1447">
        <v>0</v>
      </c>
      <c r="U41" s="1447">
        <v>0</v>
      </c>
      <c r="V41" s="1447">
        <v>0</v>
      </c>
      <c r="W41" s="1447">
        <v>0</v>
      </c>
      <c r="X41" s="1447">
        <v>0</v>
      </c>
      <c r="Y41" s="1447">
        <v>0</v>
      </c>
      <c r="Z41" s="1447">
        <v>0</v>
      </c>
      <c r="AA41" s="1447">
        <v>0</v>
      </c>
      <c r="AB41" s="1447">
        <v>0</v>
      </c>
      <c r="AC41" s="1447">
        <v>0</v>
      </c>
      <c r="AD41" s="1447">
        <v>0</v>
      </c>
      <c r="AE41" s="1447">
        <v>0</v>
      </c>
      <c r="AF41" s="1447">
        <v>0</v>
      </c>
      <c r="AG41" s="1447">
        <v>0</v>
      </c>
      <c r="AH41" s="1447">
        <v>0</v>
      </c>
      <c r="AI41" s="1447">
        <v>0</v>
      </c>
      <c r="AJ41" s="1447">
        <v>0</v>
      </c>
      <c r="AK41" s="1447">
        <v>0</v>
      </c>
      <c r="AL41" s="1447">
        <v>0</v>
      </c>
      <c r="AM41" s="1447">
        <v>0</v>
      </c>
      <c r="AN41" s="1447">
        <v>0</v>
      </c>
      <c r="AO41" s="1447">
        <v>0</v>
      </c>
      <c r="AP41" s="1447">
        <v>0</v>
      </c>
      <c r="AQ41" s="1447">
        <v>0</v>
      </c>
      <c r="AR41" s="1447">
        <v>0</v>
      </c>
    </row>
    <row r="42" spans="1:44">
      <c r="A42" s="1473" t="s">
        <v>50</v>
      </c>
      <c r="B42" s="1447" t="s">
        <v>245</v>
      </c>
      <c r="C42" s="1447">
        <v>0</v>
      </c>
      <c r="D42" s="1447">
        <v>0</v>
      </c>
      <c r="E42" s="1447">
        <v>0</v>
      </c>
      <c r="F42" s="1447">
        <v>0</v>
      </c>
      <c r="G42" s="1447">
        <v>0</v>
      </c>
      <c r="H42" s="1447">
        <v>0</v>
      </c>
      <c r="I42" s="1447">
        <v>0</v>
      </c>
      <c r="J42" s="1447">
        <v>0</v>
      </c>
      <c r="K42" s="1447">
        <v>0</v>
      </c>
      <c r="L42" s="1447">
        <v>0</v>
      </c>
      <c r="M42" s="1447">
        <v>0</v>
      </c>
      <c r="N42" s="1447">
        <v>0</v>
      </c>
      <c r="O42" s="1447">
        <v>0</v>
      </c>
      <c r="P42" s="1447">
        <v>0</v>
      </c>
      <c r="Q42" s="1447">
        <v>0</v>
      </c>
      <c r="R42" s="1447">
        <v>0</v>
      </c>
      <c r="S42" s="1447">
        <v>0</v>
      </c>
      <c r="T42" s="1447">
        <v>0</v>
      </c>
      <c r="U42" s="1447">
        <v>0</v>
      </c>
      <c r="V42" s="1447">
        <v>0</v>
      </c>
      <c r="W42" s="1447">
        <v>0</v>
      </c>
      <c r="X42" s="1447">
        <v>0</v>
      </c>
      <c r="Y42" s="1447">
        <v>0</v>
      </c>
      <c r="Z42" s="1447">
        <v>0</v>
      </c>
      <c r="AA42" s="1447">
        <v>0</v>
      </c>
      <c r="AB42" s="1447">
        <v>0</v>
      </c>
      <c r="AC42" s="1447">
        <v>0</v>
      </c>
      <c r="AD42" s="1447">
        <v>0</v>
      </c>
      <c r="AE42" s="1447">
        <v>0</v>
      </c>
      <c r="AF42" s="1447">
        <v>0</v>
      </c>
      <c r="AG42" s="1447">
        <v>0</v>
      </c>
      <c r="AH42" s="1447">
        <v>0</v>
      </c>
      <c r="AI42" s="1447">
        <v>0</v>
      </c>
      <c r="AJ42" s="1447">
        <v>0</v>
      </c>
      <c r="AK42" s="1447">
        <v>0</v>
      </c>
      <c r="AL42" s="1447">
        <v>0</v>
      </c>
      <c r="AM42" s="1447">
        <v>0</v>
      </c>
      <c r="AN42" s="1447">
        <v>0</v>
      </c>
      <c r="AO42" s="1447">
        <v>0</v>
      </c>
      <c r="AP42" s="1447">
        <v>0</v>
      </c>
      <c r="AQ42" s="1447">
        <v>0</v>
      </c>
      <c r="AR42" s="1447">
        <v>0</v>
      </c>
    </row>
    <row r="43" spans="1:44">
      <c r="A43" s="1473" t="s">
        <v>52</v>
      </c>
      <c r="B43" s="1447" t="s">
        <v>202</v>
      </c>
      <c r="C43" s="1447">
        <v>0</v>
      </c>
      <c r="D43" s="1447">
        <v>0</v>
      </c>
      <c r="E43" s="1447">
        <v>0</v>
      </c>
      <c r="F43" s="1447">
        <v>0</v>
      </c>
      <c r="G43" s="1447">
        <v>0</v>
      </c>
      <c r="H43" s="1447">
        <v>0</v>
      </c>
      <c r="I43" s="1447">
        <v>0</v>
      </c>
      <c r="J43" s="1447">
        <v>0</v>
      </c>
      <c r="K43" s="1447">
        <v>0</v>
      </c>
      <c r="L43" s="1447">
        <v>0</v>
      </c>
      <c r="M43" s="1447">
        <v>0</v>
      </c>
      <c r="N43" s="1447">
        <v>0</v>
      </c>
      <c r="O43" s="1447">
        <v>0</v>
      </c>
      <c r="P43" s="1447">
        <v>0</v>
      </c>
      <c r="Q43" s="1447">
        <v>0</v>
      </c>
      <c r="R43" s="1447">
        <v>0</v>
      </c>
      <c r="S43" s="1447">
        <v>0</v>
      </c>
      <c r="T43" s="1447">
        <v>0</v>
      </c>
      <c r="U43" s="1447">
        <v>0</v>
      </c>
      <c r="V43" s="1447">
        <v>0</v>
      </c>
      <c r="W43" s="1447">
        <v>0</v>
      </c>
      <c r="X43" s="1447">
        <v>576.741193381094</v>
      </c>
      <c r="Y43" s="1447">
        <v>0</v>
      </c>
      <c r="Z43" s="1447">
        <v>0</v>
      </c>
      <c r="AA43" s="1447">
        <v>0</v>
      </c>
      <c r="AB43" s="1447">
        <v>0</v>
      </c>
      <c r="AC43" s="1447">
        <v>0</v>
      </c>
      <c r="AD43" s="1447">
        <v>0</v>
      </c>
      <c r="AE43" s="1447">
        <v>0</v>
      </c>
      <c r="AF43" s="1447">
        <v>0</v>
      </c>
      <c r="AG43" s="1447">
        <v>0</v>
      </c>
      <c r="AH43" s="1447">
        <v>0</v>
      </c>
      <c r="AI43" s="1447">
        <v>0</v>
      </c>
      <c r="AJ43" s="1447">
        <v>0</v>
      </c>
      <c r="AK43" s="1447">
        <v>0</v>
      </c>
      <c r="AL43" s="1447">
        <v>0</v>
      </c>
      <c r="AM43" s="1447">
        <v>0</v>
      </c>
      <c r="AN43" s="1447">
        <v>0</v>
      </c>
      <c r="AO43" s="1447">
        <v>0</v>
      </c>
      <c r="AP43" s="1447">
        <v>0</v>
      </c>
      <c r="AQ43" s="1447">
        <v>0</v>
      </c>
      <c r="AR43" s="1447">
        <v>0</v>
      </c>
    </row>
    <row r="44" spans="1:44">
      <c r="A44" s="1473" t="s">
        <v>52</v>
      </c>
      <c r="B44" s="1447" t="s">
        <v>195</v>
      </c>
      <c r="C44" s="1447">
        <v>0</v>
      </c>
      <c r="D44" s="1447">
        <v>0</v>
      </c>
      <c r="E44" s="1447">
        <v>0</v>
      </c>
      <c r="F44" s="1447">
        <v>0</v>
      </c>
      <c r="G44" s="1447">
        <v>0</v>
      </c>
      <c r="H44" s="1447">
        <v>0</v>
      </c>
      <c r="I44" s="1447">
        <v>0</v>
      </c>
      <c r="J44" s="1447">
        <v>0</v>
      </c>
      <c r="K44" s="1447">
        <v>0</v>
      </c>
      <c r="L44" s="1447">
        <v>0</v>
      </c>
      <c r="M44" s="1447">
        <v>0</v>
      </c>
      <c r="N44" s="1447">
        <v>0</v>
      </c>
      <c r="O44" s="1447">
        <v>0</v>
      </c>
      <c r="P44" s="1447">
        <v>0</v>
      </c>
      <c r="Q44" s="1447">
        <v>0</v>
      </c>
      <c r="R44" s="1447">
        <v>0</v>
      </c>
      <c r="S44" s="1447">
        <v>0</v>
      </c>
      <c r="T44" s="1447">
        <v>0</v>
      </c>
      <c r="U44" s="1447">
        <v>0</v>
      </c>
      <c r="V44" s="1447">
        <v>0</v>
      </c>
      <c r="W44" s="1447">
        <v>0</v>
      </c>
      <c r="X44" s="1447">
        <v>93600</v>
      </c>
      <c r="Y44" s="1447">
        <v>0</v>
      </c>
      <c r="Z44" s="1447">
        <v>0</v>
      </c>
      <c r="AA44" s="1447">
        <v>0</v>
      </c>
      <c r="AB44" s="1447">
        <v>0</v>
      </c>
      <c r="AC44" s="1447">
        <v>0</v>
      </c>
      <c r="AD44" s="1447">
        <v>0</v>
      </c>
      <c r="AE44" s="1447">
        <v>0</v>
      </c>
      <c r="AF44" s="1447">
        <v>0</v>
      </c>
      <c r="AG44" s="1447">
        <v>0</v>
      </c>
      <c r="AH44" s="1447">
        <v>0</v>
      </c>
      <c r="AI44" s="1447">
        <v>0</v>
      </c>
      <c r="AJ44" s="1447">
        <v>0</v>
      </c>
      <c r="AK44" s="1447">
        <v>0</v>
      </c>
      <c r="AL44" s="1447">
        <v>0</v>
      </c>
      <c r="AM44" s="1447">
        <v>0</v>
      </c>
      <c r="AN44" s="1447">
        <v>0</v>
      </c>
      <c r="AO44" s="1447">
        <v>0</v>
      </c>
      <c r="AP44" s="1447">
        <v>0</v>
      </c>
      <c r="AQ44" s="1447">
        <v>0</v>
      </c>
      <c r="AR44" s="1447">
        <v>0</v>
      </c>
    </row>
    <row r="45" spans="1:44">
      <c r="A45" s="1473" t="s">
        <v>52</v>
      </c>
      <c r="B45" s="1447" t="s">
        <v>63</v>
      </c>
      <c r="C45" s="1447">
        <v>0</v>
      </c>
      <c r="D45" s="1447">
        <v>0</v>
      </c>
      <c r="E45" s="1447">
        <v>0</v>
      </c>
      <c r="F45" s="1447">
        <v>0</v>
      </c>
      <c r="G45" s="1447">
        <v>0</v>
      </c>
      <c r="H45" s="1447">
        <v>0</v>
      </c>
      <c r="I45" s="1447">
        <v>0</v>
      </c>
      <c r="J45" s="1447">
        <v>0</v>
      </c>
      <c r="K45" s="1447">
        <v>0</v>
      </c>
      <c r="L45" s="1447">
        <v>0</v>
      </c>
      <c r="M45" s="1447">
        <v>0</v>
      </c>
      <c r="N45" s="1447">
        <v>0</v>
      </c>
      <c r="O45" s="1447">
        <v>0</v>
      </c>
      <c r="P45" s="1447">
        <v>0</v>
      </c>
      <c r="Q45" s="1447">
        <v>0</v>
      </c>
      <c r="R45" s="1447">
        <v>0</v>
      </c>
      <c r="S45" s="1447">
        <v>0</v>
      </c>
      <c r="T45" s="1447">
        <v>0</v>
      </c>
      <c r="U45" s="1447">
        <v>0</v>
      </c>
      <c r="V45" s="1447">
        <v>0</v>
      </c>
      <c r="W45" s="1447">
        <v>0</v>
      </c>
      <c r="X45" s="1447">
        <v>0</v>
      </c>
      <c r="Y45" s="1447">
        <v>0</v>
      </c>
      <c r="Z45" s="1447">
        <v>0</v>
      </c>
      <c r="AA45" s="1447">
        <v>0</v>
      </c>
      <c r="AB45" s="1447">
        <v>0</v>
      </c>
      <c r="AC45" s="1447">
        <v>0</v>
      </c>
      <c r="AD45" s="1447">
        <v>0</v>
      </c>
      <c r="AE45" s="1447">
        <v>0</v>
      </c>
      <c r="AF45" s="1447">
        <v>0</v>
      </c>
      <c r="AG45" s="1447">
        <v>0</v>
      </c>
      <c r="AH45" s="1447">
        <v>0</v>
      </c>
      <c r="AI45" s="1447">
        <v>0</v>
      </c>
      <c r="AJ45" s="1447">
        <v>0</v>
      </c>
      <c r="AK45" s="1447">
        <v>0</v>
      </c>
      <c r="AL45" s="1447">
        <v>0</v>
      </c>
      <c r="AM45" s="1447">
        <v>0</v>
      </c>
      <c r="AN45" s="1447">
        <v>0</v>
      </c>
      <c r="AO45" s="1447">
        <v>0</v>
      </c>
      <c r="AP45" s="1447">
        <v>0</v>
      </c>
      <c r="AQ45" s="1447">
        <v>0</v>
      </c>
      <c r="AR45" s="1447">
        <v>0</v>
      </c>
    </row>
    <row r="46" spans="1:44">
      <c r="A46" s="1473" t="s">
        <v>52</v>
      </c>
      <c r="B46" s="1447" t="s">
        <v>199</v>
      </c>
      <c r="C46" s="1447">
        <v>0</v>
      </c>
      <c r="D46" s="1447">
        <v>0</v>
      </c>
      <c r="E46" s="1447">
        <v>0</v>
      </c>
      <c r="F46" s="1447">
        <v>0</v>
      </c>
      <c r="G46" s="1447">
        <v>0</v>
      </c>
      <c r="H46" s="1447">
        <v>0</v>
      </c>
      <c r="I46" s="1447">
        <v>0</v>
      </c>
      <c r="J46" s="1447">
        <v>0</v>
      </c>
      <c r="K46" s="1447">
        <v>0</v>
      </c>
      <c r="L46" s="1447">
        <v>0</v>
      </c>
      <c r="M46" s="1447">
        <v>0</v>
      </c>
      <c r="N46" s="1447">
        <v>0</v>
      </c>
      <c r="O46" s="1447">
        <v>0</v>
      </c>
      <c r="P46" s="1447">
        <v>0</v>
      </c>
      <c r="Q46" s="1447">
        <v>0</v>
      </c>
      <c r="R46" s="1447">
        <v>0</v>
      </c>
      <c r="S46" s="1447">
        <v>0</v>
      </c>
      <c r="T46" s="1447">
        <v>0</v>
      </c>
      <c r="U46" s="1447">
        <v>0</v>
      </c>
      <c r="V46" s="1447">
        <v>0</v>
      </c>
      <c r="W46" s="1447">
        <v>0</v>
      </c>
      <c r="X46" s="1447">
        <v>0</v>
      </c>
      <c r="Y46" s="1447">
        <v>0</v>
      </c>
      <c r="Z46" s="1447">
        <v>0</v>
      </c>
      <c r="AA46" s="1447">
        <v>0</v>
      </c>
      <c r="AB46" s="1447">
        <v>0</v>
      </c>
      <c r="AC46" s="1447">
        <v>0</v>
      </c>
      <c r="AD46" s="1447">
        <v>0</v>
      </c>
      <c r="AE46" s="1447">
        <v>0</v>
      </c>
      <c r="AF46" s="1447">
        <v>0</v>
      </c>
      <c r="AG46" s="1447">
        <v>0</v>
      </c>
      <c r="AH46" s="1447">
        <v>0</v>
      </c>
      <c r="AI46" s="1447">
        <v>0</v>
      </c>
      <c r="AJ46" s="1447">
        <v>0</v>
      </c>
      <c r="AK46" s="1447">
        <v>0</v>
      </c>
      <c r="AL46" s="1447">
        <v>0</v>
      </c>
      <c r="AM46" s="1447">
        <v>0</v>
      </c>
      <c r="AN46" s="1447">
        <v>0</v>
      </c>
      <c r="AO46" s="1447">
        <v>0</v>
      </c>
      <c r="AP46" s="1447">
        <v>0</v>
      </c>
      <c r="AQ46" s="1447">
        <v>0</v>
      </c>
      <c r="AR46" s="1447">
        <v>0</v>
      </c>
    </row>
    <row r="47" spans="1:44">
      <c r="A47" s="1473" t="s">
        <v>52</v>
      </c>
      <c r="B47" s="1447" t="s">
        <v>245</v>
      </c>
      <c r="C47" s="1447">
        <v>0</v>
      </c>
      <c r="D47" s="1447">
        <v>0</v>
      </c>
      <c r="E47" s="1447">
        <v>0</v>
      </c>
      <c r="F47" s="1447">
        <v>0</v>
      </c>
      <c r="G47" s="1447">
        <v>0</v>
      </c>
      <c r="H47" s="1447">
        <v>0</v>
      </c>
      <c r="I47" s="1447">
        <v>0</v>
      </c>
      <c r="J47" s="1447">
        <v>0</v>
      </c>
      <c r="K47" s="1447">
        <v>0</v>
      </c>
      <c r="L47" s="1447">
        <v>0</v>
      </c>
      <c r="M47" s="1447">
        <v>0</v>
      </c>
      <c r="N47" s="1447">
        <v>0</v>
      </c>
      <c r="O47" s="1447">
        <v>0</v>
      </c>
      <c r="P47" s="1447">
        <v>0</v>
      </c>
      <c r="Q47" s="1447">
        <v>0</v>
      </c>
      <c r="R47" s="1447">
        <v>0</v>
      </c>
      <c r="S47" s="1447">
        <v>0</v>
      </c>
      <c r="T47" s="1447">
        <v>0</v>
      </c>
      <c r="U47" s="1447">
        <v>0</v>
      </c>
      <c r="V47" s="1447">
        <v>0</v>
      </c>
      <c r="W47" s="1447">
        <v>0</v>
      </c>
      <c r="X47" s="1447">
        <v>3000</v>
      </c>
      <c r="Y47" s="1447">
        <v>0</v>
      </c>
      <c r="Z47" s="1447">
        <v>0</v>
      </c>
      <c r="AA47" s="1447">
        <v>0</v>
      </c>
      <c r="AB47" s="1447">
        <v>0</v>
      </c>
      <c r="AC47" s="1447">
        <v>0</v>
      </c>
      <c r="AD47" s="1447">
        <v>0</v>
      </c>
      <c r="AE47" s="1447">
        <v>0</v>
      </c>
      <c r="AF47" s="1447">
        <v>0</v>
      </c>
      <c r="AG47" s="1447">
        <v>0</v>
      </c>
      <c r="AH47" s="1447">
        <v>0</v>
      </c>
      <c r="AI47" s="1447">
        <v>0</v>
      </c>
      <c r="AJ47" s="1447">
        <v>0</v>
      </c>
      <c r="AK47" s="1447">
        <v>0</v>
      </c>
      <c r="AL47" s="1447">
        <v>0</v>
      </c>
      <c r="AM47" s="1447">
        <v>0</v>
      </c>
      <c r="AN47" s="1447">
        <v>0</v>
      </c>
      <c r="AO47" s="1447">
        <v>0</v>
      </c>
      <c r="AP47" s="1447">
        <v>0</v>
      </c>
      <c r="AQ47" s="1447">
        <v>0</v>
      </c>
      <c r="AR47" s="1447">
        <v>0</v>
      </c>
    </row>
    <row r="48" spans="1:44">
      <c r="A48" s="1475" t="s">
        <v>53</v>
      </c>
      <c r="B48" s="1447" t="s">
        <v>202</v>
      </c>
      <c r="C48" s="1447">
        <v>0</v>
      </c>
      <c r="D48" s="1447">
        <v>0</v>
      </c>
      <c r="E48" s="1447">
        <v>0</v>
      </c>
      <c r="F48" s="1447">
        <v>0</v>
      </c>
      <c r="G48" s="1447">
        <v>0</v>
      </c>
      <c r="H48" s="1447">
        <v>0</v>
      </c>
      <c r="I48" s="1447">
        <v>0</v>
      </c>
      <c r="J48" s="1447">
        <v>0</v>
      </c>
      <c r="K48" s="1447">
        <v>0</v>
      </c>
      <c r="L48" s="1447">
        <v>0</v>
      </c>
      <c r="M48" s="1447">
        <v>0</v>
      </c>
      <c r="N48" s="1447">
        <v>0</v>
      </c>
      <c r="O48" s="1447">
        <v>0</v>
      </c>
      <c r="P48" s="1447">
        <v>0</v>
      </c>
      <c r="Q48" s="1447">
        <v>0</v>
      </c>
      <c r="R48" s="1447">
        <v>0</v>
      </c>
      <c r="S48" s="1447">
        <v>0</v>
      </c>
      <c r="T48" s="1447">
        <v>0</v>
      </c>
      <c r="U48" s="1447">
        <v>0</v>
      </c>
      <c r="V48" s="1447">
        <v>0</v>
      </c>
      <c r="W48" s="1447">
        <v>0</v>
      </c>
      <c r="X48" s="1447">
        <v>0</v>
      </c>
      <c r="Y48" s="1447">
        <v>0</v>
      </c>
      <c r="Z48" s="1447">
        <v>0</v>
      </c>
      <c r="AA48" s="1447">
        <v>0</v>
      </c>
      <c r="AB48" s="1447">
        <v>0</v>
      </c>
      <c r="AC48" s="1447">
        <v>0</v>
      </c>
      <c r="AD48" s="1447">
        <v>0</v>
      </c>
      <c r="AE48" s="1447">
        <v>0</v>
      </c>
      <c r="AF48" s="1447">
        <v>0</v>
      </c>
      <c r="AG48" s="1447">
        <v>0</v>
      </c>
      <c r="AH48" s="1447">
        <v>0</v>
      </c>
      <c r="AI48" s="1447">
        <v>0</v>
      </c>
      <c r="AJ48" s="1447">
        <v>0</v>
      </c>
      <c r="AK48" s="1447">
        <v>0</v>
      </c>
      <c r="AL48" s="1447">
        <v>0</v>
      </c>
      <c r="AM48" s="1447">
        <v>0</v>
      </c>
      <c r="AN48" s="1447">
        <v>0</v>
      </c>
      <c r="AO48" s="1447">
        <v>0</v>
      </c>
      <c r="AP48" s="1447">
        <v>0</v>
      </c>
      <c r="AQ48" s="1447">
        <v>0</v>
      </c>
      <c r="AR48" s="1447">
        <v>0</v>
      </c>
    </row>
    <row r="49" spans="1:44">
      <c r="A49" s="1473" t="s">
        <v>53</v>
      </c>
      <c r="B49" s="1447" t="s">
        <v>195</v>
      </c>
      <c r="C49" s="1447">
        <v>0</v>
      </c>
      <c r="D49" s="1447">
        <v>0</v>
      </c>
      <c r="E49" s="1447">
        <v>0</v>
      </c>
      <c r="F49" s="1447">
        <v>0</v>
      </c>
      <c r="G49" s="1447">
        <v>0</v>
      </c>
      <c r="H49" s="1447">
        <v>0</v>
      </c>
      <c r="I49" s="1447">
        <v>0</v>
      </c>
      <c r="J49" s="1447">
        <v>0</v>
      </c>
      <c r="K49" s="1447">
        <v>0</v>
      </c>
      <c r="L49" s="1447">
        <v>0</v>
      </c>
      <c r="M49" s="1447">
        <v>0</v>
      </c>
      <c r="N49" s="1447">
        <v>0</v>
      </c>
      <c r="O49" s="1447">
        <v>0</v>
      </c>
      <c r="P49" s="1447">
        <v>0</v>
      </c>
      <c r="Q49" s="1447">
        <v>0</v>
      </c>
      <c r="R49" s="1447">
        <v>0</v>
      </c>
      <c r="S49" s="1447">
        <v>0</v>
      </c>
      <c r="T49" s="1447">
        <v>0</v>
      </c>
      <c r="U49" s="1447">
        <v>0</v>
      </c>
      <c r="V49" s="1447">
        <v>0</v>
      </c>
      <c r="W49" s="1447">
        <v>0</v>
      </c>
      <c r="X49" s="1447">
        <v>0</v>
      </c>
      <c r="Y49" s="1447">
        <v>0</v>
      </c>
      <c r="Z49" s="1447">
        <v>0</v>
      </c>
      <c r="AA49" s="1447">
        <v>0</v>
      </c>
      <c r="AB49" s="1447">
        <v>0</v>
      </c>
      <c r="AC49" s="1447">
        <v>0</v>
      </c>
      <c r="AD49" s="1447">
        <v>0</v>
      </c>
      <c r="AE49" s="1447">
        <v>0</v>
      </c>
      <c r="AF49" s="1447">
        <v>0</v>
      </c>
      <c r="AG49" s="1447">
        <v>0</v>
      </c>
      <c r="AH49" s="1447">
        <v>0</v>
      </c>
      <c r="AI49" s="1447">
        <v>0</v>
      </c>
      <c r="AJ49" s="1447">
        <v>0</v>
      </c>
      <c r="AK49" s="1447">
        <v>0</v>
      </c>
      <c r="AL49" s="1447">
        <v>0</v>
      </c>
      <c r="AM49" s="1447">
        <v>0</v>
      </c>
      <c r="AN49" s="1447">
        <v>0</v>
      </c>
      <c r="AO49" s="1447">
        <v>0</v>
      </c>
      <c r="AP49" s="1447">
        <v>0</v>
      </c>
      <c r="AQ49" s="1447">
        <v>0</v>
      </c>
      <c r="AR49" s="1447">
        <v>0</v>
      </c>
    </row>
    <row r="50" spans="1:44">
      <c r="A50" s="1473" t="s">
        <v>53</v>
      </c>
      <c r="B50" s="1447" t="s">
        <v>63</v>
      </c>
      <c r="C50" s="1447">
        <v>0</v>
      </c>
      <c r="D50" s="1447">
        <v>0</v>
      </c>
      <c r="E50" s="1447">
        <v>0</v>
      </c>
      <c r="F50" s="1447">
        <v>0</v>
      </c>
      <c r="G50" s="1447">
        <v>0</v>
      </c>
      <c r="H50" s="1447">
        <v>0</v>
      </c>
      <c r="I50" s="1447">
        <v>0</v>
      </c>
      <c r="J50" s="1447">
        <v>0</v>
      </c>
      <c r="K50" s="1447">
        <v>0</v>
      </c>
      <c r="L50" s="1447">
        <v>0</v>
      </c>
      <c r="M50" s="1447">
        <v>0</v>
      </c>
      <c r="N50" s="1447">
        <v>0</v>
      </c>
      <c r="O50" s="1447">
        <v>0</v>
      </c>
      <c r="P50" s="1447">
        <v>0</v>
      </c>
      <c r="Q50" s="1447">
        <v>0</v>
      </c>
      <c r="R50" s="1447">
        <v>0</v>
      </c>
      <c r="S50" s="1447">
        <v>0</v>
      </c>
      <c r="T50" s="1447">
        <v>0</v>
      </c>
      <c r="U50" s="1447">
        <v>0</v>
      </c>
      <c r="V50" s="1447">
        <v>0</v>
      </c>
      <c r="W50" s="1447">
        <v>0</v>
      </c>
      <c r="X50" s="1447">
        <v>13190</v>
      </c>
      <c r="Y50" s="1447">
        <v>0</v>
      </c>
      <c r="Z50" s="1447">
        <v>0</v>
      </c>
      <c r="AA50" s="1447">
        <v>0</v>
      </c>
      <c r="AB50" s="1447">
        <v>0</v>
      </c>
      <c r="AC50" s="1447">
        <v>0</v>
      </c>
      <c r="AD50" s="1447">
        <v>0</v>
      </c>
      <c r="AE50" s="1447">
        <v>0</v>
      </c>
      <c r="AF50" s="1447">
        <v>0</v>
      </c>
      <c r="AG50" s="1447">
        <v>0</v>
      </c>
      <c r="AH50" s="1447">
        <v>0</v>
      </c>
      <c r="AI50" s="1447">
        <v>0</v>
      </c>
      <c r="AJ50" s="1447">
        <v>0</v>
      </c>
      <c r="AK50" s="1447">
        <v>0</v>
      </c>
      <c r="AL50" s="1447">
        <v>0</v>
      </c>
      <c r="AM50" s="1447">
        <v>0</v>
      </c>
      <c r="AN50" s="1447">
        <v>0</v>
      </c>
      <c r="AO50" s="1447">
        <v>0</v>
      </c>
      <c r="AP50" s="1447">
        <v>0</v>
      </c>
      <c r="AQ50" s="1447">
        <v>0</v>
      </c>
      <c r="AR50" s="1447">
        <v>0</v>
      </c>
    </row>
    <row r="51" spans="1:44">
      <c r="A51" s="1473" t="s">
        <v>53</v>
      </c>
      <c r="B51" s="1447" t="s">
        <v>199</v>
      </c>
      <c r="C51" s="1447">
        <v>0</v>
      </c>
      <c r="D51" s="1447">
        <v>0</v>
      </c>
      <c r="E51" s="1447">
        <v>0</v>
      </c>
      <c r="F51" s="1447">
        <v>0</v>
      </c>
      <c r="G51" s="1447">
        <v>0</v>
      </c>
      <c r="H51" s="1447">
        <v>0</v>
      </c>
      <c r="I51" s="1447">
        <v>0</v>
      </c>
      <c r="J51" s="1447">
        <v>0</v>
      </c>
      <c r="K51" s="1447">
        <v>0</v>
      </c>
      <c r="L51" s="1447">
        <v>0</v>
      </c>
      <c r="M51" s="1447">
        <v>0</v>
      </c>
      <c r="N51" s="1447">
        <v>0</v>
      </c>
      <c r="O51" s="1447">
        <v>0</v>
      </c>
      <c r="P51" s="1447">
        <v>0</v>
      </c>
      <c r="Q51" s="1447">
        <v>0</v>
      </c>
      <c r="R51" s="1447">
        <v>0</v>
      </c>
      <c r="S51" s="1447">
        <v>0</v>
      </c>
      <c r="T51" s="1447">
        <v>0</v>
      </c>
      <c r="U51" s="1447">
        <v>0</v>
      </c>
      <c r="V51" s="1447">
        <v>0</v>
      </c>
      <c r="W51" s="1447">
        <v>0</v>
      </c>
      <c r="X51" s="1447">
        <v>0</v>
      </c>
      <c r="Y51" s="1447">
        <v>0</v>
      </c>
      <c r="Z51" s="1447">
        <v>0</v>
      </c>
      <c r="AA51" s="1447">
        <v>0</v>
      </c>
      <c r="AB51" s="1447">
        <v>0</v>
      </c>
      <c r="AC51" s="1447">
        <v>0</v>
      </c>
      <c r="AD51" s="1447">
        <v>0</v>
      </c>
      <c r="AE51" s="1447">
        <v>0</v>
      </c>
      <c r="AF51" s="1447">
        <v>0</v>
      </c>
      <c r="AG51" s="1447">
        <v>0</v>
      </c>
      <c r="AH51" s="1447">
        <v>0</v>
      </c>
      <c r="AI51" s="1447">
        <v>0</v>
      </c>
      <c r="AJ51" s="1447">
        <v>0</v>
      </c>
      <c r="AK51" s="1447">
        <v>0</v>
      </c>
      <c r="AL51" s="1447">
        <v>0</v>
      </c>
      <c r="AM51" s="1447">
        <v>0</v>
      </c>
      <c r="AN51" s="1447">
        <v>0</v>
      </c>
      <c r="AO51" s="1447">
        <v>0</v>
      </c>
      <c r="AP51" s="1447">
        <v>0</v>
      </c>
      <c r="AQ51" s="1447">
        <v>0</v>
      </c>
      <c r="AR51" s="1447">
        <v>0</v>
      </c>
    </row>
    <row r="52" spans="1:44">
      <c r="A52" s="1473" t="s">
        <v>53</v>
      </c>
      <c r="B52" s="1447" t="s">
        <v>245</v>
      </c>
      <c r="C52" s="1447">
        <v>0</v>
      </c>
      <c r="D52" s="1447">
        <v>0</v>
      </c>
      <c r="E52" s="1447">
        <v>0</v>
      </c>
      <c r="F52" s="1447">
        <v>0</v>
      </c>
      <c r="G52" s="1447">
        <v>0</v>
      </c>
      <c r="H52" s="1447">
        <v>0</v>
      </c>
      <c r="I52" s="1447">
        <v>0</v>
      </c>
      <c r="J52" s="1447">
        <v>0</v>
      </c>
      <c r="K52" s="1447">
        <v>0</v>
      </c>
      <c r="L52" s="1447">
        <v>0</v>
      </c>
      <c r="M52" s="1447">
        <v>0</v>
      </c>
      <c r="N52" s="1447">
        <v>0</v>
      </c>
      <c r="O52" s="1447">
        <v>0</v>
      </c>
      <c r="P52" s="1447">
        <v>0</v>
      </c>
      <c r="Q52" s="1447">
        <v>0</v>
      </c>
      <c r="R52" s="1447">
        <v>0</v>
      </c>
      <c r="S52" s="1447">
        <v>0</v>
      </c>
      <c r="T52" s="1447">
        <v>0</v>
      </c>
      <c r="U52" s="1447">
        <v>0</v>
      </c>
      <c r="V52" s="1447">
        <v>0</v>
      </c>
      <c r="W52" s="1447">
        <v>0</v>
      </c>
      <c r="X52" s="1447">
        <v>0</v>
      </c>
      <c r="Y52" s="1447">
        <v>0</v>
      </c>
      <c r="Z52" s="1447">
        <v>0</v>
      </c>
      <c r="AA52" s="1447">
        <v>0</v>
      </c>
      <c r="AB52" s="1447">
        <v>0</v>
      </c>
      <c r="AC52" s="1447">
        <v>0</v>
      </c>
      <c r="AD52" s="1447">
        <v>0</v>
      </c>
      <c r="AE52" s="1447">
        <v>0</v>
      </c>
      <c r="AF52" s="1447">
        <v>0</v>
      </c>
      <c r="AG52" s="1447">
        <v>0</v>
      </c>
      <c r="AH52" s="1447">
        <v>0</v>
      </c>
      <c r="AI52" s="1447">
        <v>0</v>
      </c>
      <c r="AJ52" s="1447">
        <v>0</v>
      </c>
      <c r="AK52" s="1447">
        <v>0</v>
      </c>
      <c r="AL52" s="1447">
        <v>0</v>
      </c>
      <c r="AM52" s="1447">
        <v>0</v>
      </c>
      <c r="AN52" s="1447">
        <v>0</v>
      </c>
      <c r="AO52" s="1447">
        <v>0</v>
      </c>
      <c r="AP52" s="1447">
        <v>0</v>
      </c>
      <c r="AQ52" s="1447">
        <v>0</v>
      </c>
      <c r="AR52" s="1447">
        <v>0</v>
      </c>
    </row>
  </sheetData>
  <mergeCells count="4">
    <mergeCell ref="A1:A2"/>
    <mergeCell ref="A36:A37"/>
    <mergeCell ref="B1:B2"/>
    <mergeCell ref="B36:B37"/>
  </mergeCells>
  <pageMargins left="0.75" right="0.75" top="1" bottom="1" header="0.5" footer="0.5"/>
  <pageSetup paperSize="9"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1"/>
  <sheetViews>
    <sheetView workbookViewId="0">
      <pane xSplit="2" ySplit="1" topLeftCell="C2" activePane="bottomRight" state="frozen"/>
      <selection/>
      <selection pane="topRight"/>
      <selection pane="bottomLeft"/>
      <selection pane="bottomRight" activeCell="A1" sqref="A1"/>
    </sheetView>
  </sheetViews>
  <sheetFormatPr defaultColWidth="9" defaultRowHeight="14.25"/>
  <cols>
    <col min="1" max="1" width="17.9" style="1421" customWidth="1"/>
    <col min="2" max="2" width="17" style="1421" customWidth="1"/>
    <col min="3" max="3" width="12.6" style="1421" customWidth="1"/>
    <col min="4" max="4" width="15" style="1421" customWidth="1"/>
    <col min="5" max="5" width="14.9" style="1421" customWidth="1"/>
    <col min="6" max="6" width="16.9" style="1421" customWidth="1"/>
    <col min="7" max="7" width="15" style="1421" customWidth="1"/>
    <col min="8" max="9" width="9.5" style="1421" customWidth="1"/>
    <col min="10" max="254" width="9" style="1421"/>
    <col min="255" max="255" width="14.5" style="1421" customWidth="1"/>
    <col min="256" max="256" width="17" style="1421" customWidth="1"/>
    <col min="257" max="257" width="12.6" style="1421" customWidth="1"/>
    <col min="258" max="510" width="9" style="1421"/>
    <col min="511" max="511" width="14.5" style="1421" customWidth="1"/>
    <col min="512" max="512" width="17" style="1421" customWidth="1"/>
    <col min="513" max="513" width="12.6" style="1421" customWidth="1"/>
    <col min="514" max="766" width="9" style="1421"/>
    <col min="767" max="767" width="14.5" style="1421" customWidth="1"/>
    <col min="768" max="768" width="17" style="1421" customWidth="1"/>
    <col min="769" max="769" width="12.6" style="1421" customWidth="1"/>
    <col min="770" max="1022" width="9" style="1421"/>
    <col min="1023" max="1023" width="14.5" style="1421" customWidth="1"/>
    <col min="1024" max="1024" width="17" style="1421" customWidth="1"/>
    <col min="1025" max="1025" width="12.6" style="1421" customWidth="1"/>
    <col min="1026" max="1278" width="9" style="1421"/>
    <col min="1279" max="1279" width="14.5" style="1421" customWidth="1"/>
    <col min="1280" max="1280" width="17" style="1421" customWidth="1"/>
    <col min="1281" max="1281" width="12.6" style="1421" customWidth="1"/>
    <col min="1282" max="1534" width="9" style="1421"/>
    <col min="1535" max="1535" width="14.5" style="1421" customWidth="1"/>
    <col min="1536" max="1536" width="17" style="1421" customWidth="1"/>
    <col min="1537" max="1537" width="12.6" style="1421" customWidth="1"/>
    <col min="1538" max="1790" width="9" style="1421"/>
    <col min="1791" max="1791" width="14.5" style="1421" customWidth="1"/>
    <col min="1792" max="1792" width="17" style="1421" customWidth="1"/>
    <col min="1793" max="1793" width="12.6" style="1421" customWidth="1"/>
    <col min="1794" max="2046" width="9" style="1421"/>
    <col min="2047" max="2047" width="14.5" style="1421" customWidth="1"/>
    <col min="2048" max="2048" width="17" style="1421" customWidth="1"/>
    <col min="2049" max="2049" width="12.6" style="1421" customWidth="1"/>
    <col min="2050" max="2302" width="9" style="1421"/>
    <col min="2303" max="2303" width="14.5" style="1421" customWidth="1"/>
    <col min="2304" max="2304" width="17" style="1421" customWidth="1"/>
    <col min="2305" max="2305" width="12.6" style="1421" customWidth="1"/>
    <col min="2306" max="2558" width="9" style="1421"/>
    <col min="2559" max="2559" width="14.5" style="1421" customWidth="1"/>
    <col min="2560" max="2560" width="17" style="1421" customWidth="1"/>
    <col min="2561" max="2561" width="12.6" style="1421" customWidth="1"/>
    <col min="2562" max="2814" width="9" style="1421"/>
    <col min="2815" max="2815" width="14.5" style="1421" customWidth="1"/>
    <col min="2816" max="2816" width="17" style="1421" customWidth="1"/>
    <col min="2817" max="2817" width="12.6" style="1421" customWidth="1"/>
    <col min="2818" max="3070" width="9" style="1421"/>
    <col min="3071" max="3071" width="14.5" style="1421" customWidth="1"/>
    <col min="3072" max="3072" width="17" style="1421" customWidth="1"/>
    <col min="3073" max="3073" width="12.6" style="1421" customWidth="1"/>
    <col min="3074" max="3326" width="9" style="1421"/>
    <col min="3327" max="3327" width="14.5" style="1421" customWidth="1"/>
    <col min="3328" max="3328" width="17" style="1421" customWidth="1"/>
    <col min="3329" max="3329" width="12.6" style="1421" customWidth="1"/>
    <col min="3330" max="3582" width="9" style="1421"/>
    <col min="3583" max="3583" width="14.5" style="1421" customWidth="1"/>
    <col min="3584" max="3584" width="17" style="1421" customWidth="1"/>
    <col min="3585" max="3585" width="12.6" style="1421" customWidth="1"/>
    <col min="3586" max="3838" width="9" style="1421"/>
    <col min="3839" max="3839" width="14.5" style="1421" customWidth="1"/>
    <col min="3840" max="3840" width="17" style="1421" customWidth="1"/>
    <col min="3841" max="3841" width="12.6" style="1421" customWidth="1"/>
    <col min="3842" max="4094" width="9" style="1421"/>
    <col min="4095" max="4095" width="14.5" style="1421" customWidth="1"/>
    <col min="4096" max="4096" width="17" style="1421" customWidth="1"/>
    <col min="4097" max="4097" width="12.6" style="1421" customWidth="1"/>
    <col min="4098" max="4350" width="9" style="1421"/>
    <col min="4351" max="4351" width="14.5" style="1421" customWidth="1"/>
    <col min="4352" max="4352" width="17" style="1421" customWidth="1"/>
    <col min="4353" max="4353" width="12.6" style="1421" customWidth="1"/>
    <col min="4354" max="4606" width="9" style="1421"/>
    <col min="4607" max="4607" width="14.5" style="1421" customWidth="1"/>
    <col min="4608" max="4608" width="17" style="1421" customWidth="1"/>
    <col min="4609" max="4609" width="12.6" style="1421" customWidth="1"/>
    <col min="4610" max="4862" width="9" style="1421"/>
    <col min="4863" max="4863" width="14.5" style="1421" customWidth="1"/>
    <col min="4864" max="4864" width="17" style="1421" customWidth="1"/>
    <col min="4865" max="4865" width="12.6" style="1421" customWidth="1"/>
    <col min="4866" max="5118" width="9" style="1421"/>
    <col min="5119" max="5119" width="14.5" style="1421" customWidth="1"/>
    <col min="5120" max="5120" width="17" style="1421" customWidth="1"/>
    <col min="5121" max="5121" width="12.6" style="1421" customWidth="1"/>
    <col min="5122" max="5374" width="9" style="1421"/>
    <col min="5375" max="5375" width="14.5" style="1421" customWidth="1"/>
    <col min="5376" max="5376" width="17" style="1421" customWidth="1"/>
    <col min="5377" max="5377" width="12.6" style="1421" customWidth="1"/>
    <col min="5378" max="5630" width="9" style="1421"/>
    <col min="5631" max="5631" width="14.5" style="1421" customWidth="1"/>
    <col min="5632" max="5632" width="17" style="1421" customWidth="1"/>
    <col min="5633" max="5633" width="12.6" style="1421" customWidth="1"/>
    <col min="5634" max="5886" width="9" style="1421"/>
    <col min="5887" max="5887" width="14.5" style="1421" customWidth="1"/>
    <col min="5888" max="5888" width="17" style="1421" customWidth="1"/>
    <col min="5889" max="5889" width="12.6" style="1421" customWidth="1"/>
    <col min="5890" max="6142" width="9" style="1421"/>
    <col min="6143" max="6143" width="14.5" style="1421" customWidth="1"/>
    <col min="6144" max="6144" width="17" style="1421" customWidth="1"/>
    <col min="6145" max="6145" width="12.6" style="1421" customWidth="1"/>
    <col min="6146" max="6398" width="9" style="1421"/>
    <col min="6399" max="6399" width="14.5" style="1421" customWidth="1"/>
    <col min="6400" max="6400" width="17" style="1421" customWidth="1"/>
    <col min="6401" max="6401" width="12.6" style="1421" customWidth="1"/>
    <col min="6402" max="6654" width="9" style="1421"/>
    <col min="6655" max="6655" width="14.5" style="1421" customWidth="1"/>
    <col min="6656" max="6656" width="17" style="1421" customWidth="1"/>
    <col min="6657" max="6657" width="12.6" style="1421" customWidth="1"/>
    <col min="6658" max="6910" width="9" style="1421"/>
    <col min="6911" max="6911" width="14.5" style="1421" customWidth="1"/>
    <col min="6912" max="6912" width="17" style="1421" customWidth="1"/>
    <col min="6913" max="6913" width="12.6" style="1421" customWidth="1"/>
    <col min="6914" max="7166" width="9" style="1421"/>
    <col min="7167" max="7167" width="14.5" style="1421" customWidth="1"/>
    <col min="7168" max="7168" width="17" style="1421" customWidth="1"/>
    <col min="7169" max="7169" width="12.6" style="1421" customWidth="1"/>
    <col min="7170" max="7422" width="9" style="1421"/>
    <col min="7423" max="7423" width="14.5" style="1421" customWidth="1"/>
    <col min="7424" max="7424" width="17" style="1421" customWidth="1"/>
    <col min="7425" max="7425" width="12.6" style="1421" customWidth="1"/>
    <col min="7426" max="7678" width="9" style="1421"/>
    <col min="7679" max="7679" width="14.5" style="1421" customWidth="1"/>
    <col min="7680" max="7680" width="17" style="1421" customWidth="1"/>
    <col min="7681" max="7681" width="12.6" style="1421" customWidth="1"/>
    <col min="7682" max="7934" width="9" style="1421"/>
    <col min="7935" max="7935" width="14.5" style="1421" customWidth="1"/>
    <col min="7936" max="7936" width="17" style="1421" customWidth="1"/>
    <col min="7937" max="7937" width="12.6" style="1421" customWidth="1"/>
    <col min="7938" max="8190" width="9" style="1421"/>
    <col min="8191" max="8191" width="14.5" style="1421" customWidth="1"/>
    <col min="8192" max="8192" width="17" style="1421" customWidth="1"/>
    <col min="8193" max="8193" width="12.6" style="1421" customWidth="1"/>
    <col min="8194" max="8446" width="9" style="1421"/>
    <col min="8447" max="8447" width="14.5" style="1421" customWidth="1"/>
    <col min="8448" max="8448" width="17" style="1421" customWidth="1"/>
    <col min="8449" max="8449" width="12.6" style="1421" customWidth="1"/>
    <col min="8450" max="8702" width="9" style="1421"/>
    <col min="8703" max="8703" width="14.5" style="1421" customWidth="1"/>
    <col min="8704" max="8704" width="17" style="1421" customWidth="1"/>
    <col min="8705" max="8705" width="12.6" style="1421" customWidth="1"/>
    <col min="8706" max="8958" width="9" style="1421"/>
    <col min="8959" max="8959" width="14.5" style="1421" customWidth="1"/>
    <col min="8960" max="8960" width="17" style="1421" customWidth="1"/>
    <col min="8961" max="8961" width="12.6" style="1421" customWidth="1"/>
    <col min="8962" max="9214" width="9" style="1421"/>
    <col min="9215" max="9215" width="14.5" style="1421" customWidth="1"/>
    <col min="9216" max="9216" width="17" style="1421" customWidth="1"/>
    <col min="9217" max="9217" width="12.6" style="1421" customWidth="1"/>
    <col min="9218" max="9470" width="9" style="1421"/>
    <col min="9471" max="9471" width="14.5" style="1421" customWidth="1"/>
    <col min="9472" max="9472" width="17" style="1421" customWidth="1"/>
    <col min="9473" max="9473" width="12.6" style="1421" customWidth="1"/>
    <col min="9474" max="9726" width="9" style="1421"/>
    <col min="9727" max="9727" width="14.5" style="1421" customWidth="1"/>
    <col min="9728" max="9728" width="17" style="1421" customWidth="1"/>
    <col min="9729" max="9729" width="12.6" style="1421" customWidth="1"/>
    <col min="9730" max="9982" width="9" style="1421"/>
    <col min="9983" max="9983" width="14.5" style="1421" customWidth="1"/>
    <col min="9984" max="9984" width="17" style="1421" customWidth="1"/>
    <col min="9985" max="9985" width="12.6" style="1421" customWidth="1"/>
    <col min="9986" max="10238" width="9" style="1421"/>
    <col min="10239" max="10239" width="14.5" style="1421" customWidth="1"/>
    <col min="10240" max="10240" width="17" style="1421" customWidth="1"/>
    <col min="10241" max="10241" width="12.6" style="1421" customWidth="1"/>
    <col min="10242" max="10494" width="9" style="1421"/>
    <col min="10495" max="10495" width="14.5" style="1421" customWidth="1"/>
    <col min="10496" max="10496" width="17" style="1421" customWidth="1"/>
    <col min="10497" max="10497" width="12.6" style="1421" customWidth="1"/>
    <col min="10498" max="10750" width="9" style="1421"/>
    <col min="10751" max="10751" width="14.5" style="1421" customWidth="1"/>
    <col min="10752" max="10752" width="17" style="1421" customWidth="1"/>
    <col min="10753" max="10753" width="12.6" style="1421" customWidth="1"/>
    <col min="10754" max="11006" width="9" style="1421"/>
    <col min="11007" max="11007" width="14.5" style="1421" customWidth="1"/>
    <col min="11008" max="11008" width="17" style="1421" customWidth="1"/>
    <col min="11009" max="11009" width="12.6" style="1421" customWidth="1"/>
    <col min="11010" max="11262" width="9" style="1421"/>
    <col min="11263" max="11263" width="14.5" style="1421" customWidth="1"/>
    <col min="11264" max="11264" width="17" style="1421" customWidth="1"/>
    <col min="11265" max="11265" width="12.6" style="1421" customWidth="1"/>
    <col min="11266" max="11518" width="9" style="1421"/>
    <col min="11519" max="11519" width="14.5" style="1421" customWidth="1"/>
    <col min="11520" max="11520" width="17" style="1421" customWidth="1"/>
    <col min="11521" max="11521" width="12.6" style="1421" customWidth="1"/>
    <col min="11522" max="11774" width="9" style="1421"/>
    <col min="11775" max="11775" width="14.5" style="1421" customWidth="1"/>
    <col min="11776" max="11776" width="17" style="1421" customWidth="1"/>
    <col min="11777" max="11777" width="12.6" style="1421" customWidth="1"/>
    <col min="11778" max="12030" width="9" style="1421"/>
    <col min="12031" max="12031" width="14.5" style="1421" customWidth="1"/>
    <col min="12032" max="12032" width="17" style="1421" customWidth="1"/>
    <col min="12033" max="12033" width="12.6" style="1421" customWidth="1"/>
    <col min="12034" max="12286" width="9" style="1421"/>
    <col min="12287" max="12287" width="14.5" style="1421" customWidth="1"/>
    <col min="12288" max="12288" width="17" style="1421" customWidth="1"/>
    <col min="12289" max="12289" width="12.6" style="1421" customWidth="1"/>
    <col min="12290" max="12542" width="9" style="1421"/>
    <col min="12543" max="12543" width="14.5" style="1421" customWidth="1"/>
    <col min="12544" max="12544" width="17" style="1421" customWidth="1"/>
    <col min="12545" max="12545" width="12.6" style="1421" customWidth="1"/>
    <col min="12546" max="12798" width="9" style="1421"/>
    <col min="12799" max="12799" width="14.5" style="1421" customWidth="1"/>
    <col min="12800" max="12800" width="17" style="1421" customWidth="1"/>
    <col min="12801" max="12801" width="12.6" style="1421" customWidth="1"/>
    <col min="12802" max="13054" width="9" style="1421"/>
    <col min="13055" max="13055" width="14.5" style="1421" customWidth="1"/>
    <col min="13056" max="13056" width="17" style="1421" customWidth="1"/>
    <col min="13057" max="13057" width="12.6" style="1421" customWidth="1"/>
    <col min="13058" max="13310" width="9" style="1421"/>
    <col min="13311" max="13311" width="14.5" style="1421" customWidth="1"/>
    <col min="13312" max="13312" width="17" style="1421" customWidth="1"/>
    <col min="13313" max="13313" width="12.6" style="1421" customWidth="1"/>
    <col min="13314" max="13566" width="9" style="1421"/>
    <col min="13567" max="13567" width="14.5" style="1421" customWidth="1"/>
    <col min="13568" max="13568" width="17" style="1421" customWidth="1"/>
    <col min="13569" max="13569" width="12.6" style="1421" customWidth="1"/>
    <col min="13570" max="13822" width="9" style="1421"/>
    <col min="13823" max="13823" width="14.5" style="1421" customWidth="1"/>
    <col min="13824" max="13824" width="17" style="1421" customWidth="1"/>
    <col min="13825" max="13825" width="12.6" style="1421" customWidth="1"/>
    <col min="13826" max="14078" width="9" style="1421"/>
    <col min="14079" max="14079" width="14.5" style="1421" customWidth="1"/>
    <col min="14080" max="14080" width="17" style="1421" customWidth="1"/>
    <col min="14081" max="14081" width="12.6" style="1421" customWidth="1"/>
    <col min="14082" max="14334" width="9" style="1421"/>
    <col min="14335" max="14335" width="14.5" style="1421" customWidth="1"/>
    <col min="14336" max="14336" width="17" style="1421" customWidth="1"/>
    <col min="14337" max="14337" width="12.6" style="1421" customWidth="1"/>
    <col min="14338" max="14590" width="9" style="1421"/>
    <col min="14591" max="14591" width="14.5" style="1421" customWidth="1"/>
    <col min="14592" max="14592" width="17" style="1421" customWidth="1"/>
    <col min="14593" max="14593" width="12.6" style="1421" customWidth="1"/>
    <col min="14594" max="14846" width="9" style="1421"/>
    <col min="14847" max="14847" width="14.5" style="1421" customWidth="1"/>
    <col min="14848" max="14848" width="17" style="1421" customWidth="1"/>
    <col min="14849" max="14849" width="12.6" style="1421" customWidth="1"/>
    <col min="14850" max="15102" width="9" style="1421"/>
    <col min="15103" max="15103" width="14.5" style="1421" customWidth="1"/>
    <col min="15104" max="15104" width="17" style="1421" customWidth="1"/>
    <col min="15105" max="15105" width="12.6" style="1421" customWidth="1"/>
    <col min="15106" max="15358" width="9" style="1421"/>
    <col min="15359" max="15359" width="14.5" style="1421" customWidth="1"/>
    <col min="15360" max="15360" width="17" style="1421" customWidth="1"/>
    <col min="15361" max="15361" width="12.6" style="1421" customWidth="1"/>
    <col min="15362" max="15614" width="9" style="1421"/>
    <col min="15615" max="15615" width="14.5" style="1421" customWidth="1"/>
    <col min="15616" max="15616" width="17" style="1421" customWidth="1"/>
    <col min="15617" max="15617" width="12.6" style="1421" customWidth="1"/>
    <col min="15618" max="15870" width="9" style="1421"/>
    <col min="15871" max="15871" width="14.5" style="1421" customWidth="1"/>
    <col min="15872" max="15872" width="17" style="1421" customWidth="1"/>
    <col min="15873" max="15873" width="12.6" style="1421" customWidth="1"/>
    <col min="15874" max="16126" width="9" style="1421"/>
    <col min="16127" max="16127" width="14.5" style="1421" customWidth="1"/>
    <col min="16128" max="16128" width="17" style="1421" customWidth="1"/>
    <col min="16129" max="16129" width="12.6" style="1421" customWidth="1"/>
    <col min="16130" max="16382" width="9" style="1421"/>
    <col min="16383" max="16384" width="9" style="1421" customWidth="1"/>
  </cols>
  <sheetData>
    <row r="1" spans="1:8">
      <c r="A1" s="1422" t="s">
        <v>21</v>
      </c>
      <c r="B1" s="1422" t="s">
        <v>433</v>
      </c>
      <c r="C1" s="1422" t="s">
        <v>434</v>
      </c>
      <c r="D1" s="1422" t="s">
        <v>435</v>
      </c>
      <c r="E1" s="1422" t="s">
        <v>436</v>
      </c>
      <c r="F1" s="1422" t="s">
        <v>437</v>
      </c>
      <c r="G1" s="1422" t="s">
        <v>438</v>
      </c>
      <c r="H1" s="1423"/>
    </row>
    <row r="2" spans="1:8">
      <c r="A2" s="1424" t="s">
        <v>439</v>
      </c>
      <c r="B2" s="1425" t="s">
        <v>440</v>
      </c>
      <c r="C2" s="1426">
        <v>47127.422747214</v>
      </c>
      <c r="D2" s="1426">
        <v>20961.0401384219</v>
      </c>
      <c r="E2" s="1426">
        <v>21656.1690446693</v>
      </c>
      <c r="F2" s="1426">
        <v>4510.21356412275</v>
      </c>
      <c r="G2" s="1426">
        <v>47127.422747214</v>
      </c>
      <c r="H2" s="1427"/>
    </row>
    <row r="3" spans="1:8">
      <c r="A3" s="1424" t="s">
        <v>441</v>
      </c>
      <c r="B3" s="1425" t="s">
        <v>442</v>
      </c>
      <c r="C3" s="1426">
        <v>105631.203411557</v>
      </c>
      <c r="D3" s="1426">
        <v>48132.8270304145</v>
      </c>
      <c r="E3" s="1426">
        <v>49896.3969232511</v>
      </c>
      <c r="F3" s="1426">
        <v>7601.97945789187</v>
      </c>
      <c r="G3" s="1426">
        <v>105631.203411557</v>
      </c>
      <c r="H3" s="1427"/>
    </row>
    <row r="4" spans="1:8">
      <c r="A4" s="1428" t="s">
        <v>443</v>
      </c>
      <c r="B4" s="1429" t="s">
        <v>444</v>
      </c>
      <c r="C4" s="1426">
        <v>152758.626158771</v>
      </c>
      <c r="D4" s="1426">
        <v>69093.8671688365</v>
      </c>
      <c r="E4" s="1426">
        <v>71552.5659679203</v>
      </c>
      <c r="F4" s="1426">
        <v>12112.1930220146</v>
      </c>
      <c r="G4" s="1426">
        <v>152758.626158771</v>
      </c>
      <c r="H4" s="1427"/>
    </row>
    <row r="5" spans="1:8">
      <c r="A5" s="1430" t="s">
        <v>445</v>
      </c>
      <c r="B5" s="1429" t="s">
        <v>446</v>
      </c>
      <c r="C5" s="1426">
        <v>15275.8626158771</v>
      </c>
      <c r="D5" s="1426">
        <v>6909.38671688365</v>
      </c>
      <c r="E5" s="1426">
        <v>7155.25659679203</v>
      </c>
      <c r="F5" s="1426">
        <v>1211.21930220146</v>
      </c>
      <c r="G5" s="1426">
        <v>15275.8626158771</v>
      </c>
      <c r="H5" s="1427"/>
    </row>
    <row r="6" spans="1:8">
      <c r="A6" s="1430" t="s">
        <v>447</v>
      </c>
      <c r="B6" s="1429" t="s">
        <v>280</v>
      </c>
      <c r="C6" s="1426">
        <v>1181.90528389539</v>
      </c>
      <c r="D6" s="1426">
        <v>540.691241716806</v>
      </c>
      <c r="E6" s="1426">
        <v>568.322577742583</v>
      </c>
      <c r="F6" s="1426">
        <v>72.8914644360001</v>
      </c>
      <c r="G6" s="1426">
        <v>1181.90528389539</v>
      </c>
      <c r="H6" s="1427"/>
    </row>
    <row r="7" spans="1:8">
      <c r="A7" s="1430" t="s">
        <v>448</v>
      </c>
      <c r="B7" s="1429" t="s">
        <v>449</v>
      </c>
      <c r="C7" s="1426">
        <v>30551.7252317543</v>
      </c>
      <c r="D7" s="1426">
        <v>13818.7734337673</v>
      </c>
      <c r="E7" s="1426">
        <v>14310.5131935841</v>
      </c>
      <c r="F7" s="1426">
        <v>2422.43860440292</v>
      </c>
      <c r="G7" s="1426">
        <v>30551.7252317543</v>
      </c>
      <c r="H7" s="1427"/>
    </row>
    <row r="8" spans="1:8">
      <c r="A8" s="1430" t="s">
        <v>450</v>
      </c>
      <c r="B8" s="1429" t="s">
        <v>451</v>
      </c>
      <c r="C8" s="1426">
        <v>199768.119290298</v>
      </c>
      <c r="D8" s="1426">
        <v>90362.7185612042</v>
      </c>
      <c r="E8" s="1426">
        <v>93586.658336039</v>
      </c>
      <c r="F8" s="1426">
        <v>15818.742393055</v>
      </c>
      <c r="G8" s="1426">
        <v>199768.119290298</v>
      </c>
      <c r="H8" s="1427"/>
    </row>
    <row r="9" spans="1:7">
      <c r="A9" s="1430" t="s">
        <v>411</v>
      </c>
      <c r="B9" s="1431"/>
      <c r="C9" s="1426">
        <v>231211.303148186</v>
      </c>
      <c r="D9" s="1426">
        <v>105773.21914166</v>
      </c>
      <c r="E9" s="1426">
        <v>111178.624547066</v>
      </c>
      <c r="F9" s="1426">
        <v>14259.4594594595</v>
      </c>
      <c r="G9" s="1426">
        <v>231211.303148186</v>
      </c>
    </row>
    <row r="10" spans="1:7">
      <c r="A10" s="1430" t="s">
        <v>14</v>
      </c>
      <c r="B10" s="1431"/>
      <c r="C10" s="1426">
        <v>31443.1838578875</v>
      </c>
      <c r="D10" s="1426">
        <v>15410.5005804562</v>
      </c>
      <c r="E10" s="1426">
        <v>17591.9662110268</v>
      </c>
      <c r="F10" s="1426">
        <v>-1559.28293359555</v>
      </c>
      <c r="G10" s="1426">
        <v>31443.1838578875</v>
      </c>
    </row>
    <row r="11" spans="1:7">
      <c r="A11" s="1424" t="s">
        <v>452</v>
      </c>
      <c r="B11" s="1432"/>
      <c r="C11" s="1433">
        <v>0.157398407561694</v>
      </c>
      <c r="D11" s="1433">
        <v>0.170540470957815</v>
      </c>
      <c r="E11" s="1433">
        <v>0.187975150772665</v>
      </c>
      <c r="F11" s="1433">
        <v>-0.0985718646180198</v>
      </c>
      <c r="G11" s="1434">
        <v>0.157398407561694</v>
      </c>
    </row>
    <row r="12" spans="1:7">
      <c r="A12" s="1424" t="s">
        <v>453</v>
      </c>
      <c r="B12" s="1425" t="s">
        <v>454</v>
      </c>
      <c r="C12" s="1426">
        <v>9432.95515736625</v>
      </c>
      <c r="D12" s="1426">
        <v>4623.15017413687</v>
      </c>
      <c r="E12" s="1426">
        <v>5277.58986330805</v>
      </c>
      <c r="F12" s="1426">
        <v>0</v>
      </c>
      <c r="G12" s="1426">
        <v>9900.74003744492</v>
      </c>
    </row>
    <row r="13" spans="1:7">
      <c r="A13" s="1435" t="s">
        <v>455</v>
      </c>
      <c r="B13" s="1436"/>
      <c r="C13" s="1437">
        <v>0.02</v>
      </c>
      <c r="D13" s="1437">
        <v>0.02</v>
      </c>
      <c r="E13" s="1437">
        <v>0.02</v>
      </c>
      <c r="F13" s="1437">
        <v>0.02</v>
      </c>
      <c r="G13" s="1437">
        <v>0.02</v>
      </c>
    </row>
    <row r="14" spans="1:7">
      <c r="A14" s="1424" t="s">
        <v>456</v>
      </c>
      <c r="B14" s="1432"/>
      <c r="C14" s="1426">
        <v>4624.22606296371</v>
      </c>
      <c r="D14" s="1426">
        <v>2115.46438283321</v>
      </c>
      <c r="E14" s="1426">
        <v>2223.57249094132</v>
      </c>
      <c r="F14" s="1426">
        <v>285.189189189189</v>
      </c>
      <c r="G14" s="1426">
        <v>4624.22606296371</v>
      </c>
    </row>
    <row r="15" spans="1:7">
      <c r="A15" s="1424" t="s">
        <v>457</v>
      </c>
      <c r="B15" s="1432"/>
      <c r="C15" s="1426">
        <v>4808.72909440253</v>
      </c>
      <c r="D15" s="1426">
        <v>2507.68579130366</v>
      </c>
      <c r="E15" s="1426">
        <v>3054.01737236673</v>
      </c>
      <c r="F15" s="1426">
        <v>-285.189189189189</v>
      </c>
      <c r="G15" s="1426">
        <v>5276.5139744812</v>
      </c>
    </row>
    <row r="16" spans="1:7">
      <c r="A16" s="1424" t="s">
        <v>458</v>
      </c>
      <c r="B16" s="1432"/>
      <c r="C16" s="1433">
        <v>0.0407979844796799</v>
      </c>
      <c r="D16" s="1433">
        <v>0.0437081353073423</v>
      </c>
      <c r="E16" s="1433">
        <v>0.0474694653294066</v>
      </c>
      <c r="F16" s="1433">
        <v>0</v>
      </c>
      <c r="G16" s="1433">
        <v>0.0428211765715426</v>
      </c>
    </row>
    <row r="17" spans="1:7">
      <c r="A17" s="1424" t="s">
        <v>459</v>
      </c>
      <c r="B17" s="1432"/>
      <c r="C17" s="1433">
        <v>0.0407979844796799</v>
      </c>
      <c r="D17" s="1433">
        <v>0.0437081353073423</v>
      </c>
      <c r="E17" s="1433">
        <v>0.0474694653294066</v>
      </c>
      <c r="F17" s="1433">
        <v>0.02</v>
      </c>
      <c r="G17" s="1433">
        <v>0.0440546335232834</v>
      </c>
    </row>
    <row r="18" spans="1:7">
      <c r="A18" s="1424" t="s">
        <v>460</v>
      </c>
      <c r="B18" s="1432"/>
      <c r="C18" s="1426">
        <v>9432.95515736625</v>
      </c>
      <c r="D18" s="1426">
        <v>4623.15017413687</v>
      </c>
      <c r="E18" s="1426">
        <v>5277.58986330805</v>
      </c>
      <c r="F18" s="1426">
        <v>285.189189189189</v>
      </c>
      <c r="G18" s="1426">
        <v>10185.9292266341</v>
      </c>
    </row>
    <row r="20" spans="1:5">
      <c r="A20" s="1421" t="s">
        <v>461</v>
      </c>
      <c r="C20" s="1438"/>
      <c r="D20" s="1438"/>
      <c r="E20" s="1438"/>
    </row>
    <row r="21" spans="1:7">
      <c r="A21" s="1439" t="s">
        <v>462</v>
      </c>
      <c r="B21" s="1439">
        <v>5000</v>
      </c>
      <c r="G21" s="1440"/>
    </row>
    <row r="22" spans="1:7">
      <c r="A22" s="1422" t="s">
        <v>21</v>
      </c>
      <c r="B22" s="1422" t="s">
        <v>433</v>
      </c>
      <c r="C22" s="1422" t="s">
        <v>434</v>
      </c>
      <c r="D22" s="1422" t="s">
        <v>435</v>
      </c>
      <c r="E22" s="1422" t="s">
        <v>436</v>
      </c>
      <c r="F22" s="1422" t="s">
        <v>437</v>
      </c>
      <c r="G22" s="1422" t="s">
        <v>438</v>
      </c>
    </row>
    <row r="23" spans="1:11">
      <c r="A23" s="1424" t="s">
        <v>439</v>
      </c>
      <c r="B23" s="1425" t="s">
        <v>440</v>
      </c>
      <c r="C23" s="1441">
        <v>42127.422747214</v>
      </c>
      <c r="D23" s="1441">
        <v>18660.0420559203</v>
      </c>
      <c r="E23" s="1441">
        <v>19355.1709621677</v>
      </c>
      <c r="F23" s="1441">
        <v>4185.95966766766</v>
      </c>
      <c r="G23" s="1441">
        <v>42201.1726857557</v>
      </c>
      <c r="I23" s="1427"/>
      <c r="J23" s="1427"/>
      <c r="K23" s="1427"/>
    </row>
    <row r="24" spans="1:7">
      <c r="A24" s="1424" t="s">
        <v>441</v>
      </c>
      <c r="B24" s="1425" t="s">
        <v>442</v>
      </c>
      <c r="C24" s="1426">
        <v>105631.203411557</v>
      </c>
      <c r="D24" s="1426">
        <v>48132.8270304145</v>
      </c>
      <c r="E24" s="1426">
        <v>49896.3969232511</v>
      </c>
      <c r="F24" s="1426">
        <v>7601.97945789187</v>
      </c>
      <c r="G24" s="1426">
        <v>105631.203411557</v>
      </c>
    </row>
    <row r="25" spans="1:7">
      <c r="A25" s="1442" t="s">
        <v>443</v>
      </c>
      <c r="B25" s="1425" t="s">
        <v>444</v>
      </c>
      <c r="C25" s="1426">
        <v>147758.626158771</v>
      </c>
      <c r="D25" s="1426">
        <v>66792.8690863349</v>
      </c>
      <c r="E25" s="1426">
        <v>69251.5678854187</v>
      </c>
      <c r="F25" s="1426">
        <v>11787.9391255595</v>
      </c>
      <c r="G25" s="1426">
        <v>147832.376097313</v>
      </c>
    </row>
    <row r="26" spans="1:7">
      <c r="A26" s="1430" t="s">
        <v>445</v>
      </c>
      <c r="B26" s="1429" t="s">
        <v>446</v>
      </c>
      <c r="C26" s="1426">
        <v>15275.8626158771</v>
      </c>
      <c r="D26" s="1426">
        <v>6909.38671688365</v>
      </c>
      <c r="E26" s="1426">
        <v>7155.25659679203</v>
      </c>
      <c r="F26" s="1426">
        <v>1211.21930220146</v>
      </c>
      <c r="G26" s="1426">
        <v>15275.8626158771</v>
      </c>
    </row>
    <row r="27" spans="1:7">
      <c r="A27" s="1430" t="s">
        <v>447</v>
      </c>
      <c r="B27" s="1429" t="s">
        <v>280</v>
      </c>
      <c r="C27" s="1426">
        <v>1181.90528389539</v>
      </c>
      <c r="D27" s="1426">
        <v>540.691241716806</v>
      </c>
      <c r="E27" s="1426">
        <v>568.322577742583</v>
      </c>
      <c r="F27" s="1426">
        <v>72.8914644360001</v>
      </c>
      <c r="G27" s="1426">
        <v>1181.90528389539</v>
      </c>
    </row>
    <row r="28" spans="1:7">
      <c r="A28" s="1430" t="s">
        <v>448</v>
      </c>
      <c r="B28" s="1429" t="s">
        <v>449</v>
      </c>
      <c r="C28" s="1426">
        <v>30551.7252317543</v>
      </c>
      <c r="D28" s="1426">
        <v>13818.7734337673</v>
      </c>
      <c r="E28" s="1426">
        <v>14310.5131935841</v>
      </c>
      <c r="F28" s="1426">
        <v>2422.43860440292</v>
      </c>
      <c r="G28" s="1426">
        <v>30551.7252317543</v>
      </c>
    </row>
    <row r="29" spans="1:7">
      <c r="A29" s="1430" t="s">
        <v>450</v>
      </c>
      <c r="B29" s="1429" t="s">
        <v>451</v>
      </c>
      <c r="C29" s="1426">
        <v>194768.119290298</v>
      </c>
      <c r="D29" s="1426">
        <v>88061.7204787026</v>
      </c>
      <c r="E29" s="1426">
        <v>91285.6602535374</v>
      </c>
      <c r="F29" s="1426">
        <v>15494.4884965999</v>
      </c>
      <c r="G29" s="1426">
        <v>194841.86922884</v>
      </c>
    </row>
    <row r="30" spans="1:7">
      <c r="A30" s="1430" t="s">
        <v>411</v>
      </c>
      <c r="B30" s="1431"/>
      <c r="C30" s="1426">
        <v>231211.303148186</v>
      </c>
      <c r="D30" s="1426">
        <v>105773.21914166</v>
      </c>
      <c r="E30" s="1426">
        <v>111178.624547066</v>
      </c>
      <c r="F30" s="1426">
        <v>14259.4594594595</v>
      </c>
      <c r="G30" s="1426">
        <v>231211.303148186</v>
      </c>
    </row>
    <row r="31" spans="1:7">
      <c r="A31" s="1430" t="s">
        <v>14</v>
      </c>
      <c r="B31" s="1431"/>
      <c r="C31" s="1426">
        <v>36443.1838578875</v>
      </c>
      <c r="D31" s="1426">
        <v>17711.4986629578</v>
      </c>
      <c r="E31" s="1426">
        <v>19892.9642935285</v>
      </c>
      <c r="F31" s="1426">
        <v>-1235.02903714046</v>
      </c>
      <c r="G31" s="1426">
        <v>36369.4339193458</v>
      </c>
    </row>
    <row r="32" spans="1:7">
      <c r="A32" s="1424" t="s">
        <v>452</v>
      </c>
      <c r="B32" s="1432"/>
      <c r="C32" s="1433">
        <v>0.18711062154669</v>
      </c>
      <c r="D32" s="1433">
        <v>0.201125966727408</v>
      </c>
      <c r="E32" s="1433">
        <v>0.217919925629914</v>
      </c>
      <c r="F32" s="1433">
        <v>-0.0797076352285829</v>
      </c>
      <c r="G32" s="1433">
        <v>0.186661286217852</v>
      </c>
    </row>
    <row r="33" spans="1:7">
      <c r="A33" s="1424" t="s">
        <v>453</v>
      </c>
      <c r="B33" s="1425" t="s">
        <v>454</v>
      </c>
      <c r="C33" s="1426">
        <v>10932.9551573662</v>
      </c>
      <c r="D33" s="1426">
        <v>5313.44959888735</v>
      </c>
      <c r="E33" s="1426">
        <v>5967.88928805853</v>
      </c>
      <c r="F33" s="1426">
        <v>0</v>
      </c>
      <c r="G33" s="1426">
        <v>11281.3388869459</v>
      </c>
    </row>
    <row r="34" spans="1:7">
      <c r="A34" s="1435" t="s">
        <v>455</v>
      </c>
      <c r="B34" s="1436"/>
      <c r="C34" s="1437">
        <v>0.02</v>
      </c>
      <c r="D34" s="1437">
        <v>0.02</v>
      </c>
      <c r="E34" s="1437">
        <v>0.02</v>
      </c>
      <c r="F34" s="1437">
        <v>0.02</v>
      </c>
      <c r="G34" s="1437">
        <v>0.02</v>
      </c>
    </row>
    <row r="35" spans="1:7">
      <c r="A35" s="1424" t="s">
        <v>456</v>
      </c>
      <c r="B35" s="1432"/>
      <c r="C35" s="1426">
        <v>4624.22606296371</v>
      </c>
      <c r="D35" s="1426">
        <v>2115.46438283321</v>
      </c>
      <c r="E35" s="1426">
        <v>2223.57249094132</v>
      </c>
      <c r="F35" s="1426">
        <v>285.189189189189</v>
      </c>
      <c r="G35" s="1426">
        <v>4624.22606296371</v>
      </c>
    </row>
    <row r="36" spans="1:7">
      <c r="A36" s="1424" t="s">
        <v>457</v>
      </c>
      <c r="B36" s="1432"/>
      <c r="C36" s="1426">
        <v>6308.72909440253</v>
      </c>
      <c r="D36" s="1426">
        <v>3197.98521605414</v>
      </c>
      <c r="E36" s="1426">
        <v>3744.31679711722</v>
      </c>
      <c r="F36" s="1426">
        <v>-285.189189189189</v>
      </c>
      <c r="G36" s="1426">
        <v>6657.11282398217</v>
      </c>
    </row>
    <row r="37" spans="1:7">
      <c r="A37" s="1424" t="s">
        <v>458</v>
      </c>
      <c r="B37" s="1432"/>
      <c r="C37" s="1433">
        <v>0.0472855565818043</v>
      </c>
      <c r="D37" s="1433">
        <v>0.0502343565035222</v>
      </c>
      <c r="E37" s="1433">
        <v>0.0536783874811486</v>
      </c>
      <c r="F37" s="1433">
        <v>0</v>
      </c>
      <c r="G37" s="1433">
        <v>0.0487923329583743</v>
      </c>
    </row>
    <row r="38" spans="1:7">
      <c r="A38" s="1424" t="s">
        <v>459</v>
      </c>
      <c r="B38" s="1432"/>
      <c r="C38" s="1433">
        <v>0.0472855565818043</v>
      </c>
      <c r="D38" s="1433">
        <v>0.0502343565035222</v>
      </c>
      <c r="E38" s="1433">
        <v>0.0536783874811486</v>
      </c>
      <c r="F38" s="1433">
        <v>0.02</v>
      </c>
      <c r="G38" s="1433">
        <v>0.0500257899101151</v>
      </c>
    </row>
    <row r="39" spans="1:7">
      <c r="A39" s="1424" t="s">
        <v>460</v>
      </c>
      <c r="B39" s="1432"/>
      <c r="C39" s="1426">
        <v>10932.9551573662</v>
      </c>
      <c r="D39" s="1426">
        <v>5313.44959888735</v>
      </c>
      <c r="E39" s="1426">
        <v>5967.88928805853</v>
      </c>
      <c r="F39" s="1426">
        <v>285.189189189189</v>
      </c>
      <c r="G39" s="1426">
        <v>11566.5280761351</v>
      </c>
    </row>
    <row r="42" spans="1:7">
      <c r="A42" s="1439" t="s">
        <v>463</v>
      </c>
      <c r="B42" s="1439">
        <v>10000</v>
      </c>
      <c r="G42" s="1440"/>
    </row>
    <row r="43" spans="1:7">
      <c r="A43" s="1422" t="s">
        <v>21</v>
      </c>
      <c r="B43" s="1422" t="s">
        <v>433</v>
      </c>
      <c r="C43" s="1422" t="s">
        <v>434</v>
      </c>
      <c r="D43" s="1422" t="s">
        <v>435</v>
      </c>
      <c r="E43" s="1422" t="s">
        <v>436</v>
      </c>
      <c r="F43" s="1422" t="s">
        <v>437</v>
      </c>
      <c r="G43" s="1422" t="s">
        <v>438</v>
      </c>
    </row>
    <row r="44" spans="1:11">
      <c r="A44" s="1424" t="s">
        <v>439</v>
      </c>
      <c r="B44" s="1425" t="s">
        <v>440</v>
      </c>
      <c r="C44" s="1441">
        <v>37127.422747214</v>
      </c>
      <c r="D44" s="1441">
        <v>16359.0439734187</v>
      </c>
      <c r="E44" s="1441">
        <v>17054.1728796661</v>
      </c>
      <c r="F44" s="1441">
        <v>3861.70577121258</v>
      </c>
      <c r="G44" s="1441">
        <v>37274.9226242974</v>
      </c>
      <c r="I44" s="1427"/>
      <c r="J44" s="1427"/>
      <c r="K44" s="1427"/>
    </row>
    <row r="45" spans="1:7">
      <c r="A45" s="1424" t="s">
        <v>441</v>
      </c>
      <c r="B45" s="1425" t="s">
        <v>442</v>
      </c>
      <c r="C45" s="1426">
        <v>105631.203411557</v>
      </c>
      <c r="D45" s="1426">
        <v>48132.8270304145</v>
      </c>
      <c r="E45" s="1426">
        <v>49896.3969232511</v>
      </c>
      <c r="F45" s="1426">
        <v>7601.97945789187</v>
      </c>
      <c r="G45" s="1426">
        <v>105631.203411557</v>
      </c>
    </row>
    <row r="46" spans="1:7">
      <c r="A46" s="1442" t="s">
        <v>443</v>
      </c>
      <c r="B46" s="1429" t="s">
        <v>444</v>
      </c>
      <c r="C46" s="1426">
        <v>142758.626158771</v>
      </c>
      <c r="D46" s="1426">
        <v>64491.8710038333</v>
      </c>
      <c r="E46" s="1426">
        <v>66950.5698029171</v>
      </c>
      <c r="F46" s="1426">
        <v>11463.6852291044</v>
      </c>
      <c r="G46" s="1426">
        <v>142906.126035855</v>
      </c>
    </row>
    <row r="47" spans="1:7">
      <c r="A47" s="1424" t="s">
        <v>445</v>
      </c>
      <c r="B47" s="1429" t="s">
        <v>446</v>
      </c>
      <c r="C47" s="1426">
        <v>15275.8626158771</v>
      </c>
      <c r="D47" s="1426">
        <v>6909.38671688365</v>
      </c>
      <c r="E47" s="1426">
        <v>7155.25659679203</v>
      </c>
      <c r="F47" s="1426">
        <v>1211.21930220146</v>
      </c>
      <c r="G47" s="1426">
        <v>15275.8626158771</v>
      </c>
    </row>
    <row r="48" spans="1:7">
      <c r="A48" s="1424" t="s">
        <v>447</v>
      </c>
      <c r="B48" s="1429" t="s">
        <v>280</v>
      </c>
      <c r="C48" s="1426">
        <v>1181.90528389539</v>
      </c>
      <c r="D48" s="1426">
        <v>540.691241716806</v>
      </c>
      <c r="E48" s="1426">
        <v>568.322577742583</v>
      </c>
      <c r="F48" s="1426">
        <v>72.8914644360001</v>
      </c>
      <c r="G48" s="1426">
        <v>1181.90528389539</v>
      </c>
    </row>
    <row r="49" spans="1:7">
      <c r="A49" s="1424" t="s">
        <v>448</v>
      </c>
      <c r="B49" s="1429" t="s">
        <v>449</v>
      </c>
      <c r="C49" s="1426">
        <v>30551.7252317543</v>
      </c>
      <c r="D49" s="1426">
        <v>13818.7734337673</v>
      </c>
      <c r="E49" s="1426">
        <v>14310.5131935841</v>
      </c>
      <c r="F49" s="1426">
        <v>2422.43860440292</v>
      </c>
      <c r="G49" s="1426">
        <v>30551.7252317543</v>
      </c>
    </row>
    <row r="50" spans="1:7">
      <c r="A50" s="1424" t="s">
        <v>450</v>
      </c>
      <c r="B50" s="1429" t="s">
        <v>451</v>
      </c>
      <c r="C50" s="1426">
        <v>189768.119290298</v>
      </c>
      <c r="D50" s="1426">
        <v>85760.722396201</v>
      </c>
      <c r="E50" s="1426">
        <v>88984.6621710358</v>
      </c>
      <c r="F50" s="1426">
        <v>15170.2346001448</v>
      </c>
      <c r="G50" s="1426">
        <v>189915.619167382</v>
      </c>
    </row>
    <row r="51" spans="1:7">
      <c r="A51" s="1430" t="s">
        <v>411</v>
      </c>
      <c r="B51" s="1431"/>
      <c r="C51" s="1426">
        <v>231211.303148186</v>
      </c>
      <c r="D51" s="1426">
        <v>105773.21914166</v>
      </c>
      <c r="E51" s="1426">
        <v>111178.624547066</v>
      </c>
      <c r="F51" s="1426">
        <v>14259.4594594595</v>
      </c>
      <c r="G51" s="1426">
        <v>231211.303148186</v>
      </c>
    </row>
    <row r="52" spans="1:7">
      <c r="A52" s="1430" t="s">
        <v>14</v>
      </c>
      <c r="B52" s="1432"/>
      <c r="C52" s="1426">
        <v>41443.1838578875</v>
      </c>
      <c r="D52" s="1426">
        <v>20012.4967454594</v>
      </c>
      <c r="E52" s="1426">
        <v>22193.96237603</v>
      </c>
      <c r="F52" s="1426">
        <v>-910.775140685377</v>
      </c>
      <c r="G52" s="1426">
        <v>41295.6839808041</v>
      </c>
    </row>
    <row r="53" spans="1:7">
      <c r="A53" s="1424" t="s">
        <v>452</v>
      </c>
      <c r="B53" s="1432"/>
      <c r="C53" s="1433">
        <v>0.218388547100947</v>
      </c>
      <c r="D53" s="1433">
        <v>0.233352707233561</v>
      </c>
      <c r="E53" s="1433">
        <v>0.249413346463814</v>
      </c>
      <c r="F53" s="1433">
        <v>-0.0600369845748253</v>
      </c>
      <c r="G53" s="1433">
        <v>0.217442273373041</v>
      </c>
    </row>
    <row r="54" spans="1:7">
      <c r="A54" s="1424" t="s">
        <v>453</v>
      </c>
      <c r="B54" s="1425" t="s">
        <v>454</v>
      </c>
      <c r="C54" s="1426">
        <v>12432.9551573662</v>
      </c>
      <c r="D54" s="1426">
        <v>6003.74902363782</v>
      </c>
      <c r="E54" s="1426">
        <v>6658.18871280901</v>
      </c>
      <c r="F54" s="1426">
        <v>0</v>
      </c>
      <c r="G54" s="1426">
        <v>12661.9377364468</v>
      </c>
    </row>
    <row r="55" spans="1:7">
      <c r="A55" s="1435" t="s">
        <v>455</v>
      </c>
      <c r="B55" s="1436"/>
      <c r="C55" s="1437">
        <v>0.02</v>
      </c>
      <c r="D55" s="1437">
        <v>0.02</v>
      </c>
      <c r="E55" s="1437">
        <v>0.02</v>
      </c>
      <c r="F55" s="1437">
        <v>0.02</v>
      </c>
      <c r="G55" s="1437">
        <v>0.02</v>
      </c>
    </row>
    <row r="56" spans="1:7">
      <c r="A56" s="1424" t="s">
        <v>456</v>
      </c>
      <c r="B56" s="1432"/>
      <c r="C56" s="1426">
        <v>4624.22606296371</v>
      </c>
      <c r="D56" s="1426">
        <v>2115.46438283321</v>
      </c>
      <c r="E56" s="1426">
        <v>2223.57249094132</v>
      </c>
      <c r="F56" s="1426">
        <v>285.189189189189</v>
      </c>
      <c r="G56" s="1426">
        <v>4624.22606296371</v>
      </c>
    </row>
    <row r="57" spans="1:7">
      <c r="A57" s="1424" t="s">
        <v>457</v>
      </c>
      <c r="B57" s="1432"/>
      <c r="C57" s="1426">
        <v>7808.72909440253</v>
      </c>
      <c r="D57" s="1426">
        <v>3888.28464080462</v>
      </c>
      <c r="E57" s="1426">
        <v>4434.61622186769</v>
      </c>
      <c r="F57" s="1426">
        <v>-285.189189189189</v>
      </c>
      <c r="G57" s="1426">
        <v>8037.71167348312</v>
      </c>
    </row>
    <row r="58" spans="1:7">
      <c r="A58" s="1424" t="s">
        <v>458</v>
      </c>
      <c r="B58" s="1432"/>
      <c r="C58" s="1433">
        <v>0.0537731286839287</v>
      </c>
      <c r="D58" s="1433">
        <v>0.056760577699702</v>
      </c>
      <c r="E58" s="1433">
        <v>0.0598873096328905</v>
      </c>
      <c r="F58" s="1433">
        <v>0</v>
      </c>
      <c r="G58" s="1433">
        <v>0.0547634893452059</v>
      </c>
    </row>
    <row r="59" spans="1:7">
      <c r="A59" s="1424" t="s">
        <v>459</v>
      </c>
      <c r="B59" s="1432"/>
      <c r="C59" s="1433">
        <v>0.0537731286839287</v>
      </c>
      <c r="D59" s="1433">
        <v>0.056760577699702</v>
      </c>
      <c r="E59" s="1433">
        <v>0.0598873096328905</v>
      </c>
      <c r="F59" s="1433">
        <v>0.02</v>
      </c>
      <c r="G59" s="1433">
        <v>0.0559969462969467</v>
      </c>
    </row>
    <row r="60" spans="1:7">
      <c r="A60" s="1424" t="s">
        <v>460</v>
      </c>
      <c r="B60" s="1432"/>
      <c r="C60" s="1426">
        <v>12432.9551573662</v>
      </c>
      <c r="D60" s="1426">
        <v>6003.74902363782</v>
      </c>
      <c r="E60" s="1426">
        <v>6658.18871280901</v>
      </c>
      <c r="F60" s="1426">
        <v>285.189189189189</v>
      </c>
      <c r="G60" s="1426">
        <v>12947.126925636</v>
      </c>
    </row>
    <row r="63" spans="1:7">
      <c r="A63" s="1439" t="s">
        <v>464</v>
      </c>
      <c r="B63" s="1439">
        <v>15000</v>
      </c>
      <c r="G63" s="1440"/>
    </row>
    <row r="64" spans="1:7">
      <c r="A64" s="1422" t="s">
        <v>21</v>
      </c>
      <c r="B64" s="1422" t="s">
        <v>433</v>
      </c>
      <c r="C64" s="1422" t="s">
        <v>434</v>
      </c>
      <c r="D64" s="1422" t="s">
        <v>435</v>
      </c>
      <c r="E64" s="1422" t="s">
        <v>436</v>
      </c>
      <c r="F64" s="1422" t="s">
        <v>437</v>
      </c>
      <c r="G64" s="1422" t="s">
        <v>438</v>
      </c>
    </row>
    <row r="65" spans="1:11">
      <c r="A65" s="1424" t="s">
        <v>439</v>
      </c>
      <c r="B65" s="1425" t="s">
        <v>440</v>
      </c>
      <c r="C65" s="1441">
        <v>32127.422747214</v>
      </c>
      <c r="D65" s="1441">
        <v>14058.0458909172</v>
      </c>
      <c r="E65" s="1441">
        <v>14753.1747971645</v>
      </c>
      <c r="F65" s="1441">
        <v>3537.45187475749</v>
      </c>
      <c r="G65" s="1441">
        <v>32348.6725628391</v>
      </c>
      <c r="I65" s="1427"/>
      <c r="J65" s="1427"/>
      <c r="K65" s="1427"/>
    </row>
    <row r="66" spans="1:7">
      <c r="A66" s="1424" t="s">
        <v>441</v>
      </c>
      <c r="B66" s="1425" t="s">
        <v>442</v>
      </c>
      <c r="C66" s="1426">
        <v>105631.203411557</v>
      </c>
      <c r="D66" s="1426">
        <v>48132.8270304145</v>
      </c>
      <c r="E66" s="1426">
        <v>49896.3969232511</v>
      </c>
      <c r="F66" s="1426">
        <v>7601.97945789187</v>
      </c>
      <c r="G66" s="1426">
        <v>105631.203411557</v>
      </c>
    </row>
    <row r="67" spans="1:7">
      <c r="A67" s="1428" t="s">
        <v>443</v>
      </c>
      <c r="B67" s="1429" t="s">
        <v>444</v>
      </c>
      <c r="C67" s="1426">
        <v>137758.626158771</v>
      </c>
      <c r="D67" s="1426">
        <v>62190.8729213317</v>
      </c>
      <c r="E67" s="1426">
        <v>64649.5717204155</v>
      </c>
      <c r="F67" s="1426">
        <v>11139.4313326494</v>
      </c>
      <c r="G67" s="1426">
        <v>137979.875974397</v>
      </c>
    </row>
    <row r="68" spans="1:7">
      <c r="A68" s="1430" t="s">
        <v>445</v>
      </c>
      <c r="B68" s="1429" t="s">
        <v>446</v>
      </c>
      <c r="C68" s="1426">
        <v>15275.8626158771</v>
      </c>
      <c r="D68" s="1426">
        <v>6909.38671688365</v>
      </c>
      <c r="E68" s="1426">
        <v>7155.25659679203</v>
      </c>
      <c r="F68" s="1426">
        <v>1211.21930220146</v>
      </c>
      <c r="G68" s="1426">
        <v>15275.8626158771</v>
      </c>
    </row>
    <row r="69" spans="1:7">
      <c r="A69" s="1430" t="s">
        <v>447</v>
      </c>
      <c r="B69" s="1429" t="s">
        <v>280</v>
      </c>
      <c r="C69" s="1426">
        <v>1181.90528389539</v>
      </c>
      <c r="D69" s="1426">
        <v>540.691241716806</v>
      </c>
      <c r="E69" s="1426">
        <v>568.322577742583</v>
      </c>
      <c r="F69" s="1426">
        <v>72.8914644360001</v>
      </c>
      <c r="G69" s="1426">
        <v>1181.90528389539</v>
      </c>
    </row>
    <row r="70" spans="1:7">
      <c r="A70" s="1430" t="s">
        <v>448</v>
      </c>
      <c r="B70" s="1429" t="s">
        <v>449</v>
      </c>
      <c r="C70" s="1426">
        <v>30551.7252317543</v>
      </c>
      <c r="D70" s="1426">
        <v>13818.7734337673</v>
      </c>
      <c r="E70" s="1426">
        <v>14310.5131935841</v>
      </c>
      <c r="F70" s="1426">
        <v>2422.43860440292</v>
      </c>
      <c r="G70" s="1426">
        <v>30551.7252317543</v>
      </c>
    </row>
    <row r="71" spans="1:7">
      <c r="A71" s="1430" t="s">
        <v>450</v>
      </c>
      <c r="B71" s="1429" t="s">
        <v>451</v>
      </c>
      <c r="C71" s="1426">
        <v>184768.119290298</v>
      </c>
      <c r="D71" s="1426">
        <v>83459.7243136994</v>
      </c>
      <c r="E71" s="1426">
        <v>86683.6640885342</v>
      </c>
      <c r="F71" s="1426">
        <v>14845.9807036897</v>
      </c>
      <c r="G71" s="1426">
        <v>184989.369105923</v>
      </c>
    </row>
    <row r="72" spans="1:7">
      <c r="A72" s="1430" t="s">
        <v>411</v>
      </c>
      <c r="B72" s="1431"/>
      <c r="C72" s="1426">
        <v>231211.303148186</v>
      </c>
      <c r="D72" s="1426">
        <v>105773.21914166</v>
      </c>
      <c r="E72" s="1426">
        <v>111178.624547066</v>
      </c>
      <c r="F72" s="1426">
        <v>14259.4594594595</v>
      </c>
      <c r="G72" s="1426">
        <v>231211.303148186</v>
      </c>
    </row>
    <row r="73" spans="1:7">
      <c r="A73" s="1430" t="s">
        <v>14</v>
      </c>
      <c r="B73" s="1431"/>
      <c r="C73" s="1426">
        <v>46443.1838578875</v>
      </c>
      <c r="D73" s="1426">
        <v>22313.494827961</v>
      </c>
      <c r="E73" s="1426">
        <v>24494.9604585316</v>
      </c>
      <c r="F73" s="1426">
        <v>-586.521244230289</v>
      </c>
      <c r="G73" s="1426">
        <v>46221.9340422624</v>
      </c>
    </row>
    <row r="74" spans="1:7">
      <c r="A74" s="1424" t="s">
        <v>452</v>
      </c>
      <c r="B74" s="1432"/>
      <c r="C74" s="1433">
        <v>0.251359293130642</v>
      </c>
      <c r="D74" s="1433">
        <v>0.267356440623881</v>
      </c>
      <c r="E74" s="1433">
        <v>0.282578738636541</v>
      </c>
      <c r="F74" s="1433">
        <v>-0.0395070730547641</v>
      </c>
      <c r="G74" s="1433">
        <v>0.24986265030071</v>
      </c>
    </row>
    <row r="75" spans="1:7">
      <c r="A75" s="1424" t="s">
        <v>453</v>
      </c>
      <c r="B75" s="1425" t="s">
        <v>454</v>
      </c>
      <c r="C75" s="1426">
        <v>13932.9551573662</v>
      </c>
      <c r="D75" s="1426">
        <v>6694.04844838831</v>
      </c>
      <c r="E75" s="1426">
        <v>7348.48813755949</v>
      </c>
      <c r="F75" s="1426">
        <v>0</v>
      </c>
      <c r="G75" s="1426">
        <v>14042.5365859478</v>
      </c>
    </row>
    <row r="76" spans="1:7">
      <c r="A76" s="1435" t="s">
        <v>455</v>
      </c>
      <c r="B76" s="1436"/>
      <c r="C76" s="1437">
        <v>0.02</v>
      </c>
      <c r="D76" s="1437">
        <v>0.02</v>
      </c>
      <c r="E76" s="1437">
        <v>0.02</v>
      </c>
      <c r="F76" s="1437">
        <v>0.02</v>
      </c>
      <c r="G76" s="1437">
        <v>0.02</v>
      </c>
    </row>
    <row r="77" spans="1:7">
      <c r="A77" s="1424" t="s">
        <v>456</v>
      </c>
      <c r="B77" s="1432"/>
      <c r="C77" s="1426">
        <v>4624.22606296371</v>
      </c>
      <c r="D77" s="1426">
        <v>2115.46438283321</v>
      </c>
      <c r="E77" s="1426">
        <v>2223.57249094132</v>
      </c>
      <c r="F77" s="1426">
        <v>285.189189189189</v>
      </c>
      <c r="G77" s="1426">
        <v>4624.22606296371</v>
      </c>
    </row>
    <row r="78" spans="1:7">
      <c r="A78" s="1424" t="s">
        <v>457</v>
      </c>
      <c r="B78" s="1432"/>
      <c r="C78" s="1426">
        <v>9308.72909440253</v>
      </c>
      <c r="D78" s="1426">
        <v>4578.5840655551</v>
      </c>
      <c r="E78" s="1426">
        <v>5124.91564661818</v>
      </c>
      <c r="F78" s="1426">
        <v>-285.189189189189</v>
      </c>
      <c r="G78" s="1426">
        <v>9418.31052298408</v>
      </c>
    </row>
    <row r="79" spans="1:7">
      <c r="A79" s="1424" t="s">
        <v>458</v>
      </c>
      <c r="B79" s="1432"/>
      <c r="C79" s="1433">
        <v>0.0602607007860531</v>
      </c>
      <c r="D79" s="1433">
        <v>0.0632867988958819</v>
      </c>
      <c r="E79" s="1433">
        <v>0.0660962317846325</v>
      </c>
      <c r="F79" s="1433">
        <v>0</v>
      </c>
      <c r="G79" s="1433">
        <v>0.0607346457320376</v>
      </c>
    </row>
    <row r="80" spans="1:7">
      <c r="A80" s="1424" t="s">
        <v>459</v>
      </c>
      <c r="B80" s="1432"/>
      <c r="C80" s="1433">
        <v>0.0602607007860531</v>
      </c>
      <c r="D80" s="1433">
        <v>0.0632867988958819</v>
      </c>
      <c r="E80" s="1433">
        <v>0.0660962317846325</v>
      </c>
      <c r="F80" s="1433">
        <v>0.02</v>
      </c>
      <c r="G80" s="1433">
        <v>0.0619681026837784</v>
      </c>
    </row>
    <row r="81" spans="1:7">
      <c r="A81" s="1424" t="s">
        <v>460</v>
      </c>
      <c r="B81" s="1432"/>
      <c r="C81" s="1426">
        <v>13932.9551573662</v>
      </c>
      <c r="D81" s="1426">
        <v>6694.04844838831</v>
      </c>
      <c r="E81" s="1426">
        <v>7348.48813755949</v>
      </c>
      <c r="F81" s="1426">
        <v>285.189189189189</v>
      </c>
      <c r="G81" s="1426">
        <v>14327.725775137</v>
      </c>
    </row>
  </sheetData>
  <pageMargins left="0.75" right="0.75" top="1" bottom="1" header="0.5" footer="0.5"/>
  <pageSetup paperSize="9" orientation="portrait"/>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S82"/>
  <sheetViews>
    <sheetView topLeftCell="A43" workbookViewId="0">
      <selection activeCell="A43" sqref="$A1:$XFD1048576"/>
    </sheetView>
  </sheetViews>
  <sheetFormatPr defaultColWidth="9" defaultRowHeight="12"/>
  <cols>
    <col min="1" max="1" width="20" style="1393" customWidth="1"/>
    <col min="2" max="2" width="13.9" style="1393" customWidth="1"/>
    <col min="3" max="3" width="12.1" style="1393" customWidth="1"/>
    <col min="4" max="4" width="13.1" style="1393" customWidth="1"/>
    <col min="5" max="5" width="12.6" style="1393" customWidth="1"/>
    <col min="6" max="6" width="14.5" style="1393" customWidth="1"/>
    <col min="7" max="7" width="12.6" style="1393" customWidth="1"/>
    <col min="8" max="16384" width="9" style="1393"/>
  </cols>
  <sheetData>
    <row r="1" spans="1:7">
      <c r="A1" s="1394" t="s">
        <v>465</v>
      </c>
      <c r="B1" s="1395" t="s">
        <v>50</v>
      </c>
      <c r="C1" s="1395"/>
      <c r="D1" s="1395" t="s">
        <v>52</v>
      </c>
      <c r="E1" s="1395"/>
      <c r="F1" s="1395" t="s">
        <v>53</v>
      </c>
      <c r="G1" s="1395"/>
    </row>
    <row r="2" s="1383" customFormat="1" spans="1:7">
      <c r="A2" s="1396"/>
      <c r="B2" s="1395" t="s">
        <v>466</v>
      </c>
      <c r="C2" s="1395" t="s">
        <v>467</v>
      </c>
      <c r="D2" s="1395" t="s">
        <v>466</v>
      </c>
      <c r="E2" s="1395" t="s">
        <v>467</v>
      </c>
      <c r="F2" s="1395" t="s">
        <v>466</v>
      </c>
      <c r="G2" s="1395" t="s">
        <v>467</v>
      </c>
    </row>
    <row r="3" spans="1:14">
      <c r="A3" s="1397" t="s">
        <v>468</v>
      </c>
      <c r="B3" s="1398">
        <v>43184</v>
      </c>
      <c r="C3" s="1398">
        <v>43184</v>
      </c>
      <c r="D3" s="1398">
        <v>43549</v>
      </c>
      <c r="E3" s="1398">
        <v>43549</v>
      </c>
      <c r="F3" s="1398">
        <v>43184</v>
      </c>
      <c r="G3" s="1398">
        <v>43184</v>
      </c>
      <c r="I3" s="1383"/>
      <c r="J3" s="1383"/>
      <c r="K3" s="1383"/>
      <c r="L3" s="1383"/>
      <c r="M3" s="1383"/>
      <c r="N3" s="1383"/>
    </row>
    <row r="4" spans="1:14">
      <c r="A4" s="1397" t="s">
        <v>469</v>
      </c>
      <c r="B4" s="1399">
        <v>43244</v>
      </c>
      <c r="C4" s="1398">
        <v>43244</v>
      </c>
      <c r="D4" s="1398">
        <v>43609</v>
      </c>
      <c r="E4" s="1398">
        <v>43609</v>
      </c>
      <c r="F4" s="1398">
        <v>43244</v>
      </c>
      <c r="G4" s="1398">
        <v>43244</v>
      </c>
      <c r="I4" s="1383"/>
      <c r="J4" s="1383"/>
      <c r="K4" s="1383"/>
      <c r="L4" s="1383"/>
      <c r="M4" s="1383"/>
      <c r="N4" s="1383"/>
    </row>
    <row r="5" spans="1:14">
      <c r="A5" s="1397" t="s">
        <v>470</v>
      </c>
      <c r="B5" s="1399">
        <v>43274</v>
      </c>
      <c r="C5" s="1398">
        <v>43274</v>
      </c>
      <c r="D5" s="1398">
        <v>43639</v>
      </c>
      <c r="E5" s="1398">
        <v>43639</v>
      </c>
      <c r="F5" s="1398">
        <v>43274</v>
      </c>
      <c r="G5" s="1398">
        <v>43274</v>
      </c>
      <c r="I5" s="1383"/>
      <c r="J5" s="1383"/>
      <c r="K5" s="1383"/>
      <c r="L5" s="1383"/>
      <c r="M5" s="1383"/>
      <c r="N5" s="1383"/>
    </row>
    <row r="6" s="1384" customFormat="1" spans="1:14">
      <c r="A6" s="1397" t="s">
        <v>471</v>
      </c>
      <c r="B6" s="1399">
        <v>43515</v>
      </c>
      <c r="C6" s="1398">
        <v>43515</v>
      </c>
      <c r="D6" s="1398">
        <v>43880</v>
      </c>
      <c r="E6" s="1398">
        <v>43880</v>
      </c>
      <c r="F6" s="1398">
        <v>43515</v>
      </c>
      <c r="G6" s="1398">
        <v>43515</v>
      </c>
      <c r="H6" s="1393"/>
      <c r="I6" s="1383"/>
      <c r="J6" s="1383"/>
      <c r="K6" s="1383"/>
      <c r="L6" s="1383"/>
      <c r="M6" s="1383"/>
      <c r="N6" s="1383"/>
    </row>
    <row r="7" s="1384" customFormat="1" spans="1:14">
      <c r="A7" s="1397" t="s">
        <v>472</v>
      </c>
      <c r="B7" s="1399">
        <v>43835</v>
      </c>
      <c r="C7" s="1398">
        <v>43835</v>
      </c>
      <c r="D7" s="1398">
        <v>44200</v>
      </c>
      <c r="E7" s="1398">
        <v>44200</v>
      </c>
      <c r="F7" s="1398">
        <v>43835</v>
      </c>
      <c r="G7" s="1398">
        <v>43835</v>
      </c>
      <c r="H7" s="1393"/>
      <c r="I7" s="1383"/>
      <c r="J7" s="1383"/>
      <c r="K7" s="1383"/>
      <c r="L7" s="1383"/>
      <c r="M7" s="1383"/>
      <c r="N7" s="1383"/>
    </row>
    <row r="8" spans="1:14">
      <c r="A8" s="1397" t="s">
        <v>473</v>
      </c>
      <c r="B8" s="1399">
        <v>43875</v>
      </c>
      <c r="C8" s="1398">
        <v>43875</v>
      </c>
      <c r="D8" s="1398">
        <v>44240</v>
      </c>
      <c r="E8" s="1398">
        <v>44240</v>
      </c>
      <c r="F8" s="1398">
        <v>43875</v>
      </c>
      <c r="G8" s="1398">
        <v>43875</v>
      </c>
      <c r="I8" s="1383"/>
      <c r="J8" s="1383"/>
      <c r="K8" s="1383"/>
      <c r="L8" s="1383"/>
      <c r="M8" s="1383"/>
      <c r="N8" s="1383"/>
    </row>
    <row r="9" spans="1:14">
      <c r="A9" s="1397" t="s">
        <v>268</v>
      </c>
      <c r="B9" s="1399">
        <v>43905</v>
      </c>
      <c r="C9" s="1398">
        <v>43905</v>
      </c>
      <c r="D9" s="1398">
        <v>44270</v>
      </c>
      <c r="E9" s="1398">
        <v>44270</v>
      </c>
      <c r="F9" s="1398">
        <v>43905</v>
      </c>
      <c r="G9" s="1398">
        <v>43905</v>
      </c>
      <c r="I9" s="1383"/>
      <c r="J9" s="1383"/>
      <c r="K9" s="1383"/>
      <c r="L9" s="1383"/>
      <c r="M9" s="1383"/>
      <c r="N9" s="1383"/>
    </row>
    <row r="10" spans="1:14">
      <c r="A10" s="1397" t="s">
        <v>474</v>
      </c>
      <c r="B10" s="1399">
        <v>44085</v>
      </c>
      <c r="C10" s="1398">
        <v>44085</v>
      </c>
      <c r="D10" s="1398">
        <v>44450</v>
      </c>
      <c r="E10" s="1398">
        <v>44450</v>
      </c>
      <c r="F10" s="1398">
        <v>44085</v>
      </c>
      <c r="G10" s="1398">
        <v>44085</v>
      </c>
      <c r="I10" s="1383"/>
      <c r="J10" s="1383"/>
      <c r="K10" s="1383"/>
      <c r="L10" s="1383"/>
      <c r="M10" s="1383"/>
      <c r="N10" s="1383"/>
    </row>
    <row r="11" s="1385" customFormat="1" spans="2:14">
      <c r="B11" s="1400"/>
      <c r="C11" s="1400"/>
      <c r="I11" s="1383"/>
      <c r="J11" s="1383"/>
      <c r="K11" s="1383"/>
      <c r="L11" s="1383"/>
      <c r="M11" s="1383"/>
      <c r="N11" s="1383"/>
    </row>
    <row r="12" s="1385" customFormat="1" spans="9:14">
      <c r="I12" s="1383"/>
      <c r="J12" s="1383"/>
      <c r="K12" s="1383"/>
      <c r="L12" s="1383"/>
      <c r="M12" s="1383"/>
      <c r="N12" s="1383"/>
    </row>
    <row r="13" spans="1:7">
      <c r="A13" s="1401"/>
      <c r="B13" s="1395" t="s">
        <v>50</v>
      </c>
      <c r="C13" s="1395"/>
      <c r="D13" s="1395" t="s">
        <v>52</v>
      </c>
      <c r="E13" s="1395"/>
      <c r="F13" s="1395" t="s">
        <v>53</v>
      </c>
      <c r="G13" s="1395"/>
    </row>
    <row r="14" s="1383" customFormat="1" spans="1:7">
      <c r="A14" s="1395" t="s">
        <v>475</v>
      </c>
      <c r="B14" s="1395" t="s">
        <v>476</v>
      </c>
      <c r="C14" s="1395" t="s">
        <v>477</v>
      </c>
      <c r="D14" s="1395" t="s">
        <v>476</v>
      </c>
      <c r="E14" s="1395" t="s">
        <v>477</v>
      </c>
      <c r="F14" s="1395" t="s">
        <v>476</v>
      </c>
      <c r="G14" s="1395" t="s">
        <v>477</v>
      </c>
    </row>
    <row r="15" s="1386" customFormat="1" spans="1:7">
      <c r="A15" s="1402" t="s">
        <v>469</v>
      </c>
      <c r="B15" s="1403">
        <v>2</v>
      </c>
      <c r="C15" s="1404">
        <v>2</v>
      </c>
      <c r="D15" s="1403">
        <v>2</v>
      </c>
      <c r="E15" s="1404">
        <v>2</v>
      </c>
      <c r="F15" s="1403">
        <v>2</v>
      </c>
      <c r="G15" s="1404">
        <v>2</v>
      </c>
    </row>
    <row r="16" s="1386" customFormat="1" spans="1:7">
      <c r="A16" s="1402" t="s">
        <v>470</v>
      </c>
      <c r="B16" s="1403">
        <v>1</v>
      </c>
      <c r="C16" s="1404">
        <v>3</v>
      </c>
      <c r="D16" s="1403">
        <v>1</v>
      </c>
      <c r="E16" s="1404">
        <v>3</v>
      </c>
      <c r="F16" s="1403">
        <v>1</v>
      </c>
      <c r="G16" s="1404">
        <v>3</v>
      </c>
    </row>
    <row r="17" s="1386" customFormat="1" spans="1:7">
      <c r="A17" s="1402" t="s">
        <v>471</v>
      </c>
      <c r="B17" s="1403">
        <v>8</v>
      </c>
      <c r="C17" s="1404">
        <v>11</v>
      </c>
      <c r="D17" s="1403">
        <v>8</v>
      </c>
      <c r="E17" s="1404">
        <v>11</v>
      </c>
      <c r="F17" s="1403">
        <v>8</v>
      </c>
      <c r="G17" s="1404">
        <v>11</v>
      </c>
    </row>
    <row r="18" s="1386" customFormat="1" spans="1:7">
      <c r="A18" s="1402" t="s">
        <v>472</v>
      </c>
      <c r="B18" s="1403">
        <v>11</v>
      </c>
      <c r="C18" s="1404">
        <v>22</v>
      </c>
      <c r="D18" s="1403">
        <v>11</v>
      </c>
      <c r="E18" s="1404">
        <v>22</v>
      </c>
      <c r="F18" s="1403">
        <v>11</v>
      </c>
      <c r="G18" s="1404">
        <v>22</v>
      </c>
    </row>
    <row r="19" s="1386" customFormat="1" spans="1:7">
      <c r="A19" s="1402" t="s">
        <v>473</v>
      </c>
      <c r="B19" s="1403">
        <v>1</v>
      </c>
      <c r="C19" s="1404">
        <v>23</v>
      </c>
      <c r="D19" s="1403">
        <v>1</v>
      </c>
      <c r="E19" s="1404">
        <v>23</v>
      </c>
      <c r="F19" s="1403">
        <v>1</v>
      </c>
      <c r="G19" s="1404">
        <v>23</v>
      </c>
    </row>
    <row r="20" s="1386" customFormat="1" spans="1:7">
      <c r="A20" s="1402" t="s">
        <v>268</v>
      </c>
      <c r="B20" s="1403">
        <v>1</v>
      </c>
      <c r="C20" s="1404">
        <v>24</v>
      </c>
      <c r="D20" s="1403">
        <v>1</v>
      </c>
      <c r="E20" s="1404">
        <v>24</v>
      </c>
      <c r="F20" s="1403">
        <v>1</v>
      </c>
      <c r="G20" s="1404">
        <v>24</v>
      </c>
    </row>
    <row r="21" s="1386" customFormat="1" spans="1:7">
      <c r="A21" s="1405" t="s">
        <v>474</v>
      </c>
      <c r="B21" s="1403">
        <v>6</v>
      </c>
      <c r="C21" s="1403">
        <v>30</v>
      </c>
      <c r="D21" s="1403">
        <v>6</v>
      </c>
      <c r="E21" s="1403">
        <v>30</v>
      </c>
      <c r="F21" s="1403">
        <v>6</v>
      </c>
      <c r="G21" s="1403">
        <v>30</v>
      </c>
    </row>
    <row r="22" s="1387" customFormat="1" spans="2:7">
      <c r="B22" s="1406"/>
      <c r="C22" s="1406"/>
      <c r="D22" s="1406"/>
      <c r="E22" s="1406"/>
      <c r="F22" s="1406"/>
      <c r="G22" s="1406"/>
    </row>
    <row r="23" s="1388" customFormat="1" ht="18" customHeight="1" spans="1:16">
      <c r="A23" s="1407" t="s">
        <v>478</v>
      </c>
      <c r="B23" s="1408"/>
      <c r="C23" s="1409"/>
      <c r="D23" s="1409"/>
      <c r="E23" s="1409"/>
      <c r="F23" s="1408"/>
      <c r="G23" s="1409"/>
      <c r="H23" s="1408"/>
      <c r="I23" s="1409"/>
      <c r="J23" s="1408"/>
      <c r="K23" s="1409"/>
      <c r="L23" s="1408"/>
      <c r="M23" s="1409"/>
      <c r="N23" s="1408"/>
      <c r="O23" s="1409"/>
      <c r="P23" s="1419"/>
    </row>
    <row r="24" s="1389" customFormat="1" ht="18" customHeight="1" outlineLevel="1" spans="1:44">
      <c r="A24" s="1410" t="s">
        <v>479</v>
      </c>
      <c r="B24" s="1410" t="s">
        <v>2</v>
      </c>
      <c r="C24" s="1411" t="s">
        <v>422</v>
      </c>
      <c r="D24" s="1411" t="s">
        <v>422</v>
      </c>
      <c r="E24" s="1411" t="s">
        <v>423</v>
      </c>
      <c r="F24" s="1411" t="s">
        <v>423</v>
      </c>
      <c r="G24" s="1411" t="s">
        <v>423</v>
      </c>
      <c r="H24" s="1411" t="s">
        <v>423</v>
      </c>
      <c r="I24" s="1411" t="s">
        <v>424</v>
      </c>
      <c r="J24" s="1411" t="s">
        <v>424</v>
      </c>
      <c r="K24" s="1411" t="s">
        <v>424</v>
      </c>
      <c r="L24" s="1411" t="s">
        <v>424</v>
      </c>
      <c r="M24" s="1411" t="s">
        <v>425</v>
      </c>
      <c r="N24" s="1411" t="s">
        <v>425</v>
      </c>
      <c r="O24" s="1411" t="s">
        <v>425</v>
      </c>
      <c r="P24" s="1411" t="s">
        <v>425</v>
      </c>
      <c r="Q24" s="1411" t="s">
        <v>426</v>
      </c>
      <c r="R24" s="1411" t="s">
        <v>426</v>
      </c>
      <c r="S24" s="1411" t="s">
        <v>426</v>
      </c>
      <c r="T24" s="1411" t="s">
        <v>426</v>
      </c>
      <c r="U24" s="1411" t="s">
        <v>427</v>
      </c>
      <c r="V24" s="1411" t="s">
        <v>427</v>
      </c>
      <c r="W24" s="1411" t="s">
        <v>427</v>
      </c>
      <c r="X24" s="1411" t="s">
        <v>427</v>
      </c>
      <c r="Y24" s="1411" t="s">
        <v>428</v>
      </c>
      <c r="Z24" s="1411" t="s">
        <v>428</v>
      </c>
      <c r="AA24" s="1411" t="s">
        <v>428</v>
      </c>
      <c r="AB24" s="1411" t="s">
        <v>428</v>
      </c>
      <c r="AC24" s="1411" t="s">
        <v>429</v>
      </c>
      <c r="AD24" s="1411" t="s">
        <v>429</v>
      </c>
      <c r="AE24" s="1411" t="s">
        <v>429</v>
      </c>
      <c r="AF24" s="1411" t="s">
        <v>429</v>
      </c>
      <c r="AG24" s="1411" t="s">
        <v>298</v>
      </c>
      <c r="AH24" s="1411" t="s">
        <v>298</v>
      </c>
      <c r="AI24" s="1411" t="s">
        <v>298</v>
      </c>
      <c r="AJ24" s="1411" t="s">
        <v>298</v>
      </c>
      <c r="AK24" s="1411" t="s">
        <v>299</v>
      </c>
      <c r="AL24" s="1411" t="s">
        <v>299</v>
      </c>
      <c r="AM24" s="1411" t="s">
        <v>299</v>
      </c>
      <c r="AN24" s="1411" t="s">
        <v>299</v>
      </c>
      <c r="AO24" s="1411" t="s">
        <v>300</v>
      </c>
      <c r="AP24" s="1411" t="s">
        <v>300</v>
      </c>
      <c r="AQ24" s="1411" t="s">
        <v>300</v>
      </c>
      <c r="AR24" s="1411" t="s">
        <v>300</v>
      </c>
    </row>
    <row r="25" s="1389" customFormat="1" ht="18" customHeight="1" outlineLevel="1" spans="1:44">
      <c r="A25" s="1410" t="s">
        <v>50</v>
      </c>
      <c r="B25" s="1410"/>
      <c r="C25" s="1411" t="s">
        <v>119</v>
      </c>
      <c r="D25" s="1411" t="s">
        <v>120</v>
      </c>
      <c r="E25" s="1411" t="s">
        <v>121</v>
      </c>
      <c r="F25" s="1411" t="s">
        <v>122</v>
      </c>
      <c r="G25" s="1411" t="s">
        <v>123</v>
      </c>
      <c r="H25" s="1411" t="s">
        <v>124</v>
      </c>
      <c r="I25" s="1411" t="s">
        <v>125</v>
      </c>
      <c r="J25" s="1411" t="s">
        <v>126</v>
      </c>
      <c r="K25" s="1411" t="s">
        <v>127</v>
      </c>
      <c r="L25" s="1411" t="s">
        <v>128</v>
      </c>
      <c r="M25" s="1411" t="s">
        <v>129</v>
      </c>
      <c r="N25" s="1411" t="s">
        <v>130</v>
      </c>
      <c r="O25" s="1411" t="s">
        <v>131</v>
      </c>
      <c r="P25" s="1411" t="s">
        <v>132</v>
      </c>
      <c r="Q25" s="1411" t="s">
        <v>133</v>
      </c>
      <c r="R25" s="1411" t="s">
        <v>134</v>
      </c>
      <c r="S25" s="1411" t="s">
        <v>135</v>
      </c>
      <c r="T25" s="1411" t="s">
        <v>136</v>
      </c>
      <c r="U25" s="1411" t="s">
        <v>137</v>
      </c>
      <c r="V25" s="1411" t="s">
        <v>138</v>
      </c>
      <c r="W25" s="1411" t="s">
        <v>302</v>
      </c>
      <c r="X25" s="1411" t="s">
        <v>303</v>
      </c>
      <c r="Y25" s="1411" t="s">
        <v>271</v>
      </c>
      <c r="Z25" s="1411" t="s">
        <v>264</v>
      </c>
      <c r="AA25" s="1411" t="s">
        <v>304</v>
      </c>
      <c r="AB25" s="1411" t="s">
        <v>305</v>
      </c>
      <c r="AC25" s="1411" t="s">
        <v>306</v>
      </c>
      <c r="AD25" s="1411" t="s">
        <v>307</v>
      </c>
      <c r="AE25" s="1411" t="s">
        <v>308</v>
      </c>
      <c r="AF25" s="1411" t="s">
        <v>309</v>
      </c>
      <c r="AG25" s="1411" t="s">
        <v>310</v>
      </c>
      <c r="AH25" s="1411" t="s">
        <v>311</v>
      </c>
      <c r="AI25" s="1411" t="s">
        <v>312</v>
      </c>
      <c r="AJ25" s="1411" t="s">
        <v>313</v>
      </c>
      <c r="AK25" s="1411" t="s">
        <v>314</v>
      </c>
      <c r="AL25" s="1411" t="s">
        <v>315</v>
      </c>
      <c r="AM25" s="1411" t="s">
        <v>316</v>
      </c>
      <c r="AN25" s="1411" t="s">
        <v>317</v>
      </c>
      <c r="AO25" s="1411" t="s">
        <v>318</v>
      </c>
      <c r="AP25" s="1411" t="s">
        <v>319</v>
      </c>
      <c r="AQ25" s="1411" t="s">
        <v>320</v>
      </c>
      <c r="AR25" s="1411" t="s">
        <v>321</v>
      </c>
    </row>
    <row r="26" s="1389" customFormat="1" ht="18" customHeight="1" outlineLevel="1" spans="1:44">
      <c r="A26" s="1412" t="s">
        <v>480</v>
      </c>
      <c r="B26" s="1413">
        <v>1</v>
      </c>
      <c r="C26" s="1412"/>
      <c r="D26" s="1412"/>
      <c r="E26" s="1412"/>
      <c r="F26" s="1412"/>
      <c r="G26" s="1412"/>
      <c r="H26" s="1412"/>
      <c r="I26" s="1412"/>
      <c r="J26" s="1412"/>
      <c r="K26" s="1412"/>
      <c r="L26" s="1412"/>
      <c r="M26" s="1412"/>
      <c r="N26" s="1412">
        <v>0.1</v>
      </c>
      <c r="O26" s="1412">
        <v>0.2</v>
      </c>
      <c r="P26" s="1412">
        <v>0.2</v>
      </c>
      <c r="Q26" s="1412">
        <v>0.2</v>
      </c>
      <c r="R26" s="1412">
        <v>0.2</v>
      </c>
      <c r="S26" s="1412">
        <v>0.1</v>
      </c>
      <c r="T26" s="1412"/>
      <c r="U26" s="1412"/>
      <c r="V26" s="1412"/>
      <c r="W26" s="1412"/>
      <c r="X26" s="1412"/>
      <c r="Y26" s="1412"/>
      <c r="Z26" s="1412"/>
      <c r="AA26" s="1412"/>
      <c r="AB26" s="1412"/>
      <c r="AC26" s="1412"/>
      <c r="AD26" s="1412"/>
      <c r="AE26" s="1412"/>
      <c r="AF26" s="1412"/>
      <c r="AG26" s="1412"/>
      <c r="AH26" s="1412"/>
      <c r="AI26" s="1412"/>
      <c r="AJ26" s="1412"/>
      <c r="AK26" s="1412"/>
      <c r="AL26" s="1412"/>
      <c r="AM26" s="1412"/>
      <c r="AN26" s="1412"/>
      <c r="AO26" s="1412"/>
      <c r="AP26" s="1412"/>
      <c r="AQ26" s="1412"/>
      <c r="AR26" s="1412"/>
    </row>
    <row r="27" s="1389" customFormat="1" ht="18" customHeight="1" outlineLevel="1" spans="1:44">
      <c r="A27" s="1412" t="s">
        <v>481</v>
      </c>
      <c r="B27" s="1413">
        <v>1</v>
      </c>
      <c r="C27" s="1412"/>
      <c r="D27" s="1412"/>
      <c r="E27" s="1412"/>
      <c r="F27" s="1412"/>
      <c r="G27" s="1412"/>
      <c r="H27" s="1412"/>
      <c r="I27" s="1412"/>
      <c r="J27" s="1412"/>
      <c r="K27" s="1412"/>
      <c r="L27" s="1412"/>
      <c r="M27" s="1412"/>
      <c r="N27" s="1412"/>
      <c r="O27" s="1412">
        <v>0.05</v>
      </c>
      <c r="P27" s="1412">
        <v>0.15</v>
      </c>
      <c r="Q27" s="1412">
        <v>0.15</v>
      </c>
      <c r="R27" s="1412">
        <v>0.15</v>
      </c>
      <c r="S27" s="1412">
        <v>0.15</v>
      </c>
      <c r="T27" s="1412">
        <v>0.15</v>
      </c>
      <c r="U27" s="1412">
        <v>0.1</v>
      </c>
      <c r="V27" s="1412">
        <v>0.05</v>
      </c>
      <c r="W27" s="1412">
        <v>0.05</v>
      </c>
      <c r="X27" s="1412"/>
      <c r="Y27" s="1412"/>
      <c r="Z27" s="1412"/>
      <c r="AA27" s="1412"/>
      <c r="AB27" s="1412"/>
      <c r="AC27" s="1412"/>
      <c r="AD27" s="1412"/>
      <c r="AE27" s="1412"/>
      <c r="AF27" s="1412"/>
      <c r="AG27" s="1412"/>
      <c r="AH27" s="1412"/>
      <c r="AI27" s="1412"/>
      <c r="AJ27" s="1412"/>
      <c r="AK27" s="1412"/>
      <c r="AL27" s="1412"/>
      <c r="AM27" s="1412"/>
      <c r="AN27" s="1412"/>
      <c r="AO27" s="1412"/>
      <c r="AP27" s="1412"/>
      <c r="AQ27" s="1412"/>
      <c r="AR27" s="1412"/>
    </row>
    <row r="28" s="1389" customFormat="1" ht="18" customHeight="1" outlineLevel="1" spans="1:44">
      <c r="A28" s="1412" t="s">
        <v>482</v>
      </c>
      <c r="B28" s="1413">
        <v>1</v>
      </c>
      <c r="C28" s="1412"/>
      <c r="D28" s="1412"/>
      <c r="E28" s="1412"/>
      <c r="F28" s="1412"/>
      <c r="G28" s="1412"/>
      <c r="H28" s="1412"/>
      <c r="I28" s="1412"/>
      <c r="J28" s="1412"/>
      <c r="K28" s="1412"/>
      <c r="L28" s="1412"/>
      <c r="M28" s="1412"/>
      <c r="N28" s="1412"/>
      <c r="O28" s="1412"/>
      <c r="P28" s="1412"/>
      <c r="Q28" s="1412">
        <v>0.15</v>
      </c>
      <c r="R28" s="1412">
        <v>0.15</v>
      </c>
      <c r="S28" s="1412">
        <v>0.15</v>
      </c>
      <c r="T28" s="1412">
        <v>0.15</v>
      </c>
      <c r="U28" s="1412">
        <v>0.1</v>
      </c>
      <c r="V28" s="1412">
        <v>0.1</v>
      </c>
      <c r="W28" s="1412">
        <v>0.1</v>
      </c>
      <c r="X28" s="1412">
        <v>0.05</v>
      </c>
      <c r="Y28" s="1412">
        <v>0.05</v>
      </c>
      <c r="Z28" s="1412"/>
      <c r="AA28" s="1412"/>
      <c r="AB28" s="1412"/>
      <c r="AC28" s="1412"/>
      <c r="AD28" s="1412"/>
      <c r="AE28" s="1412"/>
      <c r="AF28" s="1412"/>
      <c r="AG28" s="1412"/>
      <c r="AH28" s="1412"/>
      <c r="AI28" s="1412"/>
      <c r="AJ28" s="1412"/>
      <c r="AK28" s="1412"/>
      <c r="AL28" s="1412"/>
      <c r="AM28" s="1412"/>
      <c r="AN28" s="1412"/>
      <c r="AO28" s="1412"/>
      <c r="AP28" s="1412"/>
      <c r="AQ28" s="1412"/>
      <c r="AR28" s="1412"/>
    </row>
    <row r="29" s="1389" customFormat="1" ht="18" customHeight="1" outlineLevel="1" spans="1:44">
      <c r="A29" s="1412" t="s">
        <v>483</v>
      </c>
      <c r="B29" s="1413">
        <v>1</v>
      </c>
      <c r="C29" s="1412"/>
      <c r="D29" s="1412"/>
      <c r="E29" s="1412"/>
      <c r="F29" s="1412"/>
      <c r="G29" s="1412"/>
      <c r="H29" s="1412"/>
      <c r="I29" s="1412"/>
      <c r="J29" s="1412"/>
      <c r="K29" s="1412"/>
      <c r="L29" s="1412"/>
      <c r="M29" s="1412"/>
      <c r="N29" s="1412"/>
      <c r="O29" s="1412"/>
      <c r="P29" s="1412"/>
      <c r="Q29" s="1412">
        <v>0.15</v>
      </c>
      <c r="R29" s="1412">
        <v>0.15</v>
      </c>
      <c r="S29" s="1412">
        <v>0.15</v>
      </c>
      <c r="T29" s="1412">
        <v>0.15</v>
      </c>
      <c r="U29" s="1412">
        <v>0.1</v>
      </c>
      <c r="V29" s="1412">
        <v>0.1</v>
      </c>
      <c r="W29" s="1412">
        <v>0.1</v>
      </c>
      <c r="X29" s="1412">
        <v>0.05</v>
      </c>
      <c r="Y29" s="1412">
        <v>0.05</v>
      </c>
      <c r="Z29" s="1412"/>
      <c r="AA29" s="1412"/>
      <c r="AB29" s="1412"/>
      <c r="AC29" s="1412"/>
      <c r="AD29" s="1412"/>
      <c r="AE29" s="1412"/>
      <c r="AF29" s="1412"/>
      <c r="AG29" s="1412"/>
      <c r="AH29" s="1412"/>
      <c r="AI29" s="1412"/>
      <c r="AJ29" s="1412"/>
      <c r="AK29" s="1412"/>
      <c r="AL29" s="1412"/>
      <c r="AM29" s="1412"/>
      <c r="AN29" s="1412"/>
      <c r="AO29" s="1412"/>
      <c r="AP29" s="1412"/>
      <c r="AQ29" s="1412"/>
      <c r="AR29" s="1412"/>
    </row>
    <row r="30" s="1389" customFormat="1" ht="18" customHeight="1" outlineLevel="1" spans="1:44">
      <c r="A30" s="1412" t="s">
        <v>484</v>
      </c>
      <c r="B30" s="1413">
        <v>1</v>
      </c>
      <c r="C30" s="1412"/>
      <c r="D30" s="1412"/>
      <c r="E30" s="1412"/>
      <c r="F30" s="1412"/>
      <c r="G30" s="1412"/>
      <c r="H30" s="1412"/>
      <c r="I30" s="1412"/>
      <c r="J30" s="1412"/>
      <c r="K30" s="1412"/>
      <c r="L30" s="1412"/>
      <c r="M30" s="1412"/>
      <c r="N30" s="1412"/>
      <c r="O30" s="1412"/>
      <c r="P30" s="1412"/>
      <c r="Q30" s="1412">
        <v>0.15</v>
      </c>
      <c r="R30" s="1412">
        <v>0.15</v>
      </c>
      <c r="S30" s="1412">
        <v>0.15</v>
      </c>
      <c r="T30" s="1412">
        <v>0.15</v>
      </c>
      <c r="U30" s="1412">
        <v>0.1</v>
      </c>
      <c r="V30" s="1412">
        <v>0.1</v>
      </c>
      <c r="W30" s="1412">
        <v>0.1</v>
      </c>
      <c r="X30" s="1412">
        <v>0.05</v>
      </c>
      <c r="Y30" s="1412">
        <v>0.05</v>
      </c>
      <c r="Z30" s="1412"/>
      <c r="AA30" s="1412"/>
      <c r="AB30" s="1412"/>
      <c r="AC30" s="1412"/>
      <c r="AD30" s="1412"/>
      <c r="AE30" s="1412"/>
      <c r="AF30" s="1412"/>
      <c r="AG30" s="1412"/>
      <c r="AH30" s="1412"/>
      <c r="AI30" s="1412"/>
      <c r="AJ30" s="1412"/>
      <c r="AK30" s="1412"/>
      <c r="AL30" s="1412"/>
      <c r="AM30" s="1412"/>
      <c r="AN30" s="1412"/>
      <c r="AO30" s="1412"/>
      <c r="AP30" s="1412"/>
      <c r="AQ30" s="1412"/>
      <c r="AR30" s="1412"/>
    </row>
    <row r="31" s="1389" customFormat="1" ht="18" customHeight="1" outlineLevel="1" spans="1:44">
      <c r="A31" s="1412" t="s">
        <v>485</v>
      </c>
      <c r="B31" s="1413">
        <v>1</v>
      </c>
      <c r="C31" s="1412"/>
      <c r="D31" s="1412"/>
      <c r="E31" s="1412"/>
      <c r="F31" s="1412"/>
      <c r="G31" s="1412"/>
      <c r="H31" s="1412"/>
      <c r="I31" s="1412"/>
      <c r="J31" s="1412"/>
      <c r="K31" s="1412"/>
      <c r="L31" s="1412"/>
      <c r="M31" s="1412"/>
      <c r="N31" s="1412">
        <v>0.1</v>
      </c>
      <c r="O31" s="1412">
        <v>0.15</v>
      </c>
      <c r="P31" s="1412">
        <v>0.15</v>
      </c>
      <c r="Q31" s="1412">
        <v>0.1</v>
      </c>
      <c r="R31" s="1412">
        <v>0.1</v>
      </c>
      <c r="S31" s="1412">
        <v>0.1</v>
      </c>
      <c r="T31" s="1412">
        <v>0.1</v>
      </c>
      <c r="U31" s="1412">
        <v>0.1</v>
      </c>
      <c r="V31" s="1412">
        <v>0.1</v>
      </c>
      <c r="W31" s="1412"/>
      <c r="X31" s="1412"/>
      <c r="Y31" s="1412"/>
      <c r="Z31" s="1412"/>
      <c r="AA31" s="1412"/>
      <c r="AB31" s="1412"/>
      <c r="AC31" s="1412"/>
      <c r="AD31" s="1412"/>
      <c r="AE31" s="1412"/>
      <c r="AF31" s="1412"/>
      <c r="AG31" s="1412"/>
      <c r="AH31" s="1412"/>
      <c r="AI31" s="1412"/>
      <c r="AJ31" s="1412"/>
      <c r="AK31" s="1412"/>
      <c r="AL31" s="1412"/>
      <c r="AM31" s="1412"/>
      <c r="AN31" s="1412"/>
      <c r="AO31" s="1412"/>
      <c r="AP31" s="1412"/>
      <c r="AQ31" s="1412"/>
      <c r="AR31" s="1412"/>
    </row>
    <row r="32" s="1389" customFormat="1" ht="18" customHeight="1" outlineLevel="1" spans="1:44">
      <c r="A32" s="1410" t="s">
        <v>479</v>
      </c>
      <c r="B32" s="1410" t="s">
        <v>2</v>
      </c>
      <c r="C32" s="1411" t="s">
        <v>422</v>
      </c>
      <c r="D32" s="1411" t="s">
        <v>422</v>
      </c>
      <c r="E32" s="1411" t="s">
        <v>423</v>
      </c>
      <c r="F32" s="1411" t="s">
        <v>423</v>
      </c>
      <c r="G32" s="1411" t="s">
        <v>423</v>
      </c>
      <c r="H32" s="1411" t="s">
        <v>423</v>
      </c>
      <c r="I32" s="1411" t="s">
        <v>424</v>
      </c>
      <c r="J32" s="1411" t="s">
        <v>424</v>
      </c>
      <c r="K32" s="1411" t="s">
        <v>424</v>
      </c>
      <c r="L32" s="1411" t="s">
        <v>424</v>
      </c>
      <c r="M32" s="1411" t="s">
        <v>425</v>
      </c>
      <c r="N32" s="1411" t="s">
        <v>425</v>
      </c>
      <c r="O32" s="1411" t="s">
        <v>425</v>
      </c>
      <c r="P32" s="1411" t="s">
        <v>425</v>
      </c>
      <c r="Q32" s="1411" t="s">
        <v>426</v>
      </c>
      <c r="R32" s="1411" t="s">
        <v>426</v>
      </c>
      <c r="S32" s="1411" t="s">
        <v>426</v>
      </c>
      <c r="T32" s="1411" t="s">
        <v>426</v>
      </c>
      <c r="U32" s="1411" t="s">
        <v>427</v>
      </c>
      <c r="V32" s="1411" t="s">
        <v>427</v>
      </c>
      <c r="W32" s="1411" t="s">
        <v>427</v>
      </c>
      <c r="X32" s="1411" t="s">
        <v>427</v>
      </c>
      <c r="Y32" s="1411" t="s">
        <v>428</v>
      </c>
      <c r="Z32" s="1411" t="s">
        <v>428</v>
      </c>
      <c r="AA32" s="1411" t="s">
        <v>428</v>
      </c>
      <c r="AB32" s="1411" t="s">
        <v>428</v>
      </c>
      <c r="AC32" s="1411" t="s">
        <v>429</v>
      </c>
      <c r="AD32" s="1411" t="s">
        <v>429</v>
      </c>
      <c r="AE32" s="1411" t="s">
        <v>429</v>
      </c>
      <c r="AF32" s="1411" t="s">
        <v>429</v>
      </c>
      <c r="AG32" s="1411" t="s">
        <v>298</v>
      </c>
      <c r="AH32" s="1411" t="s">
        <v>298</v>
      </c>
      <c r="AI32" s="1411" t="s">
        <v>298</v>
      </c>
      <c r="AJ32" s="1411" t="s">
        <v>298</v>
      </c>
      <c r="AK32" s="1411" t="s">
        <v>299</v>
      </c>
      <c r="AL32" s="1411" t="s">
        <v>299</v>
      </c>
      <c r="AM32" s="1411" t="s">
        <v>299</v>
      </c>
      <c r="AN32" s="1411" t="s">
        <v>299</v>
      </c>
      <c r="AO32" s="1411" t="s">
        <v>300</v>
      </c>
      <c r="AP32" s="1411" t="s">
        <v>300</v>
      </c>
      <c r="AQ32" s="1411" t="s">
        <v>300</v>
      </c>
      <c r="AR32" s="1411" t="s">
        <v>300</v>
      </c>
    </row>
    <row r="33" s="1389" customFormat="1" ht="18" customHeight="1" outlineLevel="1" spans="1:44">
      <c r="A33" s="1410" t="s">
        <v>52</v>
      </c>
      <c r="B33" s="1410"/>
      <c r="C33" s="1411" t="s">
        <v>119</v>
      </c>
      <c r="D33" s="1411" t="s">
        <v>120</v>
      </c>
      <c r="E33" s="1411" t="s">
        <v>121</v>
      </c>
      <c r="F33" s="1411" t="s">
        <v>122</v>
      </c>
      <c r="G33" s="1411" t="s">
        <v>123</v>
      </c>
      <c r="H33" s="1411" t="s">
        <v>124</v>
      </c>
      <c r="I33" s="1411" t="s">
        <v>125</v>
      </c>
      <c r="J33" s="1411" t="s">
        <v>126</v>
      </c>
      <c r="K33" s="1411" t="s">
        <v>127</v>
      </c>
      <c r="L33" s="1411" t="s">
        <v>128</v>
      </c>
      <c r="M33" s="1411" t="s">
        <v>129</v>
      </c>
      <c r="N33" s="1411" t="s">
        <v>130</v>
      </c>
      <c r="O33" s="1411" t="s">
        <v>131</v>
      </c>
      <c r="P33" s="1411" t="s">
        <v>132</v>
      </c>
      <c r="Q33" s="1411" t="s">
        <v>133</v>
      </c>
      <c r="R33" s="1411" t="s">
        <v>134</v>
      </c>
      <c r="S33" s="1411" t="s">
        <v>135</v>
      </c>
      <c r="T33" s="1411" t="s">
        <v>136</v>
      </c>
      <c r="U33" s="1411" t="s">
        <v>137</v>
      </c>
      <c r="V33" s="1411" t="s">
        <v>138</v>
      </c>
      <c r="W33" s="1411" t="s">
        <v>302</v>
      </c>
      <c r="X33" s="1411" t="s">
        <v>303</v>
      </c>
      <c r="Y33" s="1411" t="s">
        <v>271</v>
      </c>
      <c r="Z33" s="1411" t="s">
        <v>264</v>
      </c>
      <c r="AA33" s="1411" t="s">
        <v>304</v>
      </c>
      <c r="AB33" s="1411" t="s">
        <v>305</v>
      </c>
      <c r="AC33" s="1411" t="s">
        <v>306</v>
      </c>
      <c r="AD33" s="1411" t="s">
        <v>307</v>
      </c>
      <c r="AE33" s="1411" t="s">
        <v>308</v>
      </c>
      <c r="AF33" s="1411" t="s">
        <v>309</v>
      </c>
      <c r="AG33" s="1411" t="s">
        <v>310</v>
      </c>
      <c r="AH33" s="1411" t="s">
        <v>311</v>
      </c>
      <c r="AI33" s="1411" t="s">
        <v>312</v>
      </c>
      <c r="AJ33" s="1411" t="s">
        <v>313</v>
      </c>
      <c r="AK33" s="1411" t="s">
        <v>314</v>
      </c>
      <c r="AL33" s="1411" t="s">
        <v>315</v>
      </c>
      <c r="AM33" s="1411" t="s">
        <v>316</v>
      </c>
      <c r="AN33" s="1411" t="s">
        <v>317</v>
      </c>
      <c r="AO33" s="1411" t="s">
        <v>318</v>
      </c>
      <c r="AP33" s="1411" t="s">
        <v>319</v>
      </c>
      <c r="AQ33" s="1411" t="s">
        <v>320</v>
      </c>
      <c r="AR33" s="1411" t="s">
        <v>321</v>
      </c>
    </row>
    <row r="34" s="1389" customFormat="1" ht="18" customHeight="1" outlineLevel="1" spans="1:44">
      <c r="A34" s="1412" t="s">
        <v>480</v>
      </c>
      <c r="B34" s="1413">
        <v>1</v>
      </c>
      <c r="C34" s="1412"/>
      <c r="D34" s="1412"/>
      <c r="E34" s="1412"/>
      <c r="F34" s="1412"/>
      <c r="G34" s="1412"/>
      <c r="H34" s="1412"/>
      <c r="I34" s="1412"/>
      <c r="J34" s="1412"/>
      <c r="K34" s="1412"/>
      <c r="L34" s="1412"/>
      <c r="M34" s="1412"/>
      <c r="N34" s="1412"/>
      <c r="O34" s="1412"/>
      <c r="P34" s="1412"/>
      <c r="Q34" s="1412"/>
      <c r="R34" s="1412">
        <v>0.25</v>
      </c>
      <c r="S34" s="1412">
        <v>0.25</v>
      </c>
      <c r="T34" s="1412">
        <v>0.2</v>
      </c>
      <c r="U34" s="1412">
        <v>0.2</v>
      </c>
      <c r="V34" s="1412">
        <v>0.1</v>
      </c>
      <c r="W34" s="1412"/>
      <c r="X34" s="1412"/>
      <c r="Y34" s="1412"/>
      <c r="Z34" s="1412"/>
      <c r="AA34" s="1412"/>
      <c r="AB34" s="1412"/>
      <c r="AC34" s="1412"/>
      <c r="AD34" s="1412"/>
      <c r="AE34" s="1412"/>
      <c r="AF34" s="1412"/>
      <c r="AG34" s="1412"/>
      <c r="AH34" s="1412"/>
      <c r="AI34" s="1412"/>
      <c r="AJ34" s="1412"/>
      <c r="AK34" s="1412"/>
      <c r="AL34" s="1412"/>
      <c r="AM34" s="1412"/>
      <c r="AN34" s="1412"/>
      <c r="AO34" s="1412"/>
      <c r="AP34" s="1412"/>
      <c r="AQ34" s="1412"/>
      <c r="AR34" s="1412"/>
    </row>
    <row r="35" s="1389" customFormat="1" ht="18" customHeight="1" outlineLevel="1" spans="1:44">
      <c r="A35" s="1412" t="s">
        <v>481</v>
      </c>
      <c r="B35" s="1413">
        <v>1</v>
      </c>
      <c r="C35" s="1412"/>
      <c r="D35" s="1412"/>
      <c r="E35" s="1412"/>
      <c r="F35" s="1412"/>
      <c r="G35" s="1412"/>
      <c r="H35" s="1412"/>
      <c r="I35" s="1412"/>
      <c r="J35" s="1412"/>
      <c r="K35" s="1412"/>
      <c r="L35" s="1412"/>
      <c r="M35" s="1412"/>
      <c r="N35" s="1412"/>
      <c r="O35" s="1412"/>
      <c r="P35" s="1412"/>
      <c r="Q35" s="1412"/>
      <c r="R35" s="1412">
        <v>0.1</v>
      </c>
      <c r="S35" s="1412">
        <v>0.15</v>
      </c>
      <c r="T35" s="1412">
        <v>0.15</v>
      </c>
      <c r="U35" s="1412">
        <v>0.1</v>
      </c>
      <c r="V35" s="1412">
        <v>0.1</v>
      </c>
      <c r="W35" s="1412">
        <v>0.1</v>
      </c>
      <c r="X35" s="1412">
        <v>0.1</v>
      </c>
      <c r="Y35" s="1412">
        <v>0.1</v>
      </c>
      <c r="Z35" s="1412">
        <v>0.05</v>
      </c>
      <c r="AA35" s="1412">
        <v>0.05</v>
      </c>
      <c r="AB35" s="1412"/>
      <c r="AC35" s="1412"/>
      <c r="AD35" s="1412"/>
      <c r="AE35" s="1412"/>
      <c r="AF35" s="1412"/>
      <c r="AG35" s="1412"/>
      <c r="AH35" s="1412"/>
      <c r="AI35" s="1412"/>
      <c r="AJ35" s="1412"/>
      <c r="AK35" s="1412"/>
      <c r="AL35" s="1412"/>
      <c r="AM35" s="1412"/>
      <c r="AN35" s="1412"/>
      <c r="AO35" s="1412"/>
      <c r="AP35" s="1412"/>
      <c r="AQ35" s="1412"/>
      <c r="AR35" s="1412"/>
    </row>
    <row r="36" s="1389" customFormat="1" ht="18" customHeight="1" outlineLevel="1" spans="1:44">
      <c r="A36" s="1412" t="s">
        <v>482</v>
      </c>
      <c r="B36" s="1413">
        <v>1</v>
      </c>
      <c r="C36" s="1412"/>
      <c r="D36" s="1412"/>
      <c r="E36" s="1412"/>
      <c r="F36" s="1412"/>
      <c r="G36" s="1412"/>
      <c r="H36" s="1412"/>
      <c r="I36" s="1412"/>
      <c r="J36" s="1412"/>
      <c r="K36" s="1412"/>
      <c r="L36" s="1412"/>
      <c r="M36" s="1412"/>
      <c r="N36" s="1412"/>
      <c r="O36" s="1412"/>
      <c r="P36" s="1412"/>
      <c r="Q36" s="1412"/>
      <c r="R36" s="1412"/>
      <c r="S36" s="1412"/>
      <c r="T36" s="1412"/>
      <c r="U36" s="1412">
        <v>0.15</v>
      </c>
      <c r="V36" s="1412">
        <v>0.15</v>
      </c>
      <c r="W36" s="1412">
        <v>0.15</v>
      </c>
      <c r="X36" s="1412">
        <v>0.15</v>
      </c>
      <c r="Y36" s="1412">
        <v>0.1</v>
      </c>
      <c r="Z36" s="1412">
        <v>0.1</v>
      </c>
      <c r="AA36" s="1412">
        <v>0.1</v>
      </c>
      <c r="AB36" s="1412">
        <v>0.05</v>
      </c>
      <c r="AC36" s="1412">
        <v>0.05</v>
      </c>
      <c r="AD36" s="1412"/>
      <c r="AE36" s="1412"/>
      <c r="AF36" s="1412"/>
      <c r="AG36" s="1412"/>
      <c r="AH36" s="1412"/>
      <c r="AI36" s="1412"/>
      <c r="AJ36" s="1412"/>
      <c r="AK36" s="1412"/>
      <c r="AL36" s="1412"/>
      <c r="AM36" s="1412"/>
      <c r="AN36" s="1412"/>
      <c r="AO36" s="1412"/>
      <c r="AP36" s="1412"/>
      <c r="AQ36" s="1412"/>
      <c r="AR36" s="1412"/>
    </row>
    <row r="37" s="1389" customFormat="1" ht="18" customHeight="1" outlineLevel="1" spans="1:44">
      <c r="A37" s="1412" t="s">
        <v>483</v>
      </c>
      <c r="B37" s="1413">
        <v>1</v>
      </c>
      <c r="C37" s="1412"/>
      <c r="D37" s="1412"/>
      <c r="E37" s="1412"/>
      <c r="F37" s="1412"/>
      <c r="G37" s="1412"/>
      <c r="H37" s="1412"/>
      <c r="I37" s="1412"/>
      <c r="J37" s="1412"/>
      <c r="K37" s="1412"/>
      <c r="L37" s="1412"/>
      <c r="M37" s="1412"/>
      <c r="N37" s="1412"/>
      <c r="O37" s="1412"/>
      <c r="P37" s="1412"/>
      <c r="Q37" s="1412"/>
      <c r="R37" s="1412"/>
      <c r="S37" s="1412"/>
      <c r="T37" s="1412"/>
      <c r="U37" s="1412">
        <v>0.15</v>
      </c>
      <c r="V37" s="1412">
        <v>0.15</v>
      </c>
      <c r="W37" s="1412">
        <v>0.15</v>
      </c>
      <c r="X37" s="1412">
        <v>0.15</v>
      </c>
      <c r="Y37" s="1412">
        <v>0.1</v>
      </c>
      <c r="Z37" s="1412">
        <v>0.1</v>
      </c>
      <c r="AA37" s="1412">
        <v>0.1</v>
      </c>
      <c r="AB37" s="1412">
        <v>0.05</v>
      </c>
      <c r="AC37" s="1412">
        <v>0.05</v>
      </c>
      <c r="AD37" s="1412"/>
      <c r="AE37" s="1412"/>
      <c r="AF37" s="1412"/>
      <c r="AG37" s="1412"/>
      <c r="AH37" s="1412"/>
      <c r="AI37" s="1412"/>
      <c r="AJ37" s="1412"/>
      <c r="AK37" s="1412"/>
      <c r="AL37" s="1412"/>
      <c r="AM37" s="1412"/>
      <c r="AN37" s="1412"/>
      <c r="AO37" s="1412"/>
      <c r="AP37" s="1412"/>
      <c r="AQ37" s="1412"/>
      <c r="AR37" s="1412"/>
    </row>
    <row r="38" s="1389" customFormat="1" ht="18" customHeight="1" outlineLevel="1" spans="1:44">
      <c r="A38" s="1412" t="s">
        <v>484</v>
      </c>
      <c r="B38" s="1413">
        <v>1</v>
      </c>
      <c r="C38" s="1412"/>
      <c r="D38" s="1412"/>
      <c r="E38" s="1412"/>
      <c r="F38" s="1412"/>
      <c r="G38" s="1412"/>
      <c r="H38" s="1412"/>
      <c r="I38" s="1412"/>
      <c r="J38" s="1412"/>
      <c r="K38" s="1412"/>
      <c r="L38" s="1412"/>
      <c r="M38" s="1412"/>
      <c r="N38" s="1412"/>
      <c r="O38" s="1412"/>
      <c r="P38" s="1412"/>
      <c r="Q38" s="1412"/>
      <c r="R38" s="1412"/>
      <c r="S38" s="1412"/>
      <c r="T38" s="1412"/>
      <c r="U38" s="1412">
        <v>0.15</v>
      </c>
      <c r="V38" s="1412">
        <v>0.15</v>
      </c>
      <c r="W38" s="1412">
        <v>0.15</v>
      </c>
      <c r="X38" s="1412">
        <v>0.15</v>
      </c>
      <c r="Y38" s="1412">
        <v>0.1</v>
      </c>
      <c r="Z38" s="1412">
        <v>0.1</v>
      </c>
      <c r="AA38" s="1412">
        <v>0.1</v>
      </c>
      <c r="AB38" s="1412">
        <v>0.05</v>
      </c>
      <c r="AC38" s="1412">
        <v>0.05</v>
      </c>
      <c r="AD38" s="1412"/>
      <c r="AE38" s="1412"/>
      <c r="AF38" s="1412"/>
      <c r="AG38" s="1412"/>
      <c r="AH38" s="1412"/>
      <c r="AI38" s="1412"/>
      <c r="AJ38" s="1412"/>
      <c r="AK38" s="1412"/>
      <c r="AL38" s="1412"/>
      <c r="AM38" s="1412"/>
      <c r="AN38" s="1412"/>
      <c r="AO38" s="1412"/>
      <c r="AP38" s="1412"/>
      <c r="AQ38" s="1412"/>
      <c r="AR38" s="1412"/>
    </row>
    <row r="39" s="1389" customFormat="1" ht="18" customHeight="1" outlineLevel="1" spans="1:44">
      <c r="A39" s="1412" t="s">
        <v>485</v>
      </c>
      <c r="B39" s="1413">
        <v>1</v>
      </c>
      <c r="C39" s="1412"/>
      <c r="D39" s="1412"/>
      <c r="E39" s="1412"/>
      <c r="F39" s="1412"/>
      <c r="G39" s="1412"/>
      <c r="H39" s="1412"/>
      <c r="I39" s="1412"/>
      <c r="J39" s="1412"/>
      <c r="K39" s="1412"/>
      <c r="L39" s="1412"/>
      <c r="M39" s="1412"/>
      <c r="N39" s="1412"/>
      <c r="O39" s="1412"/>
      <c r="P39" s="1412"/>
      <c r="Q39" s="1412"/>
      <c r="R39" s="1412">
        <v>0.1</v>
      </c>
      <c r="S39" s="1412">
        <v>0.15</v>
      </c>
      <c r="T39" s="1412">
        <v>0.15</v>
      </c>
      <c r="U39" s="1412">
        <v>0.1</v>
      </c>
      <c r="V39" s="1412">
        <v>0.1</v>
      </c>
      <c r="W39" s="1412">
        <v>0.1</v>
      </c>
      <c r="X39" s="1412">
        <v>0.1</v>
      </c>
      <c r="Y39" s="1412">
        <v>0.1</v>
      </c>
      <c r="Z39" s="1412">
        <v>0.1</v>
      </c>
      <c r="AA39" s="1412"/>
      <c r="AB39" s="1412"/>
      <c r="AC39" s="1412"/>
      <c r="AD39" s="1412"/>
      <c r="AE39" s="1412"/>
      <c r="AF39" s="1412"/>
      <c r="AG39" s="1412"/>
      <c r="AH39" s="1412"/>
      <c r="AI39" s="1412"/>
      <c r="AJ39" s="1412"/>
      <c r="AK39" s="1412"/>
      <c r="AL39" s="1412"/>
      <c r="AM39" s="1412"/>
      <c r="AN39" s="1412"/>
      <c r="AO39" s="1412"/>
      <c r="AP39" s="1412"/>
      <c r="AQ39" s="1412"/>
      <c r="AR39" s="1412"/>
    </row>
    <row r="40" s="1389" customFormat="1" ht="18" customHeight="1" outlineLevel="1" spans="1:44">
      <c r="A40" s="1410" t="s">
        <v>479</v>
      </c>
      <c r="B40" s="1410" t="s">
        <v>2</v>
      </c>
      <c r="C40" s="1411" t="s">
        <v>422</v>
      </c>
      <c r="D40" s="1411" t="s">
        <v>422</v>
      </c>
      <c r="E40" s="1411" t="s">
        <v>423</v>
      </c>
      <c r="F40" s="1411" t="s">
        <v>423</v>
      </c>
      <c r="G40" s="1411" t="s">
        <v>423</v>
      </c>
      <c r="H40" s="1411" t="s">
        <v>423</v>
      </c>
      <c r="I40" s="1411" t="s">
        <v>424</v>
      </c>
      <c r="J40" s="1411" t="s">
        <v>424</v>
      </c>
      <c r="K40" s="1411" t="s">
        <v>424</v>
      </c>
      <c r="L40" s="1411" t="s">
        <v>424</v>
      </c>
      <c r="M40" s="1411" t="s">
        <v>425</v>
      </c>
      <c r="N40" s="1411" t="s">
        <v>425</v>
      </c>
      <c r="O40" s="1411" t="s">
        <v>425</v>
      </c>
      <c r="P40" s="1411" t="s">
        <v>425</v>
      </c>
      <c r="Q40" s="1411" t="s">
        <v>426</v>
      </c>
      <c r="R40" s="1411" t="s">
        <v>426</v>
      </c>
      <c r="S40" s="1411" t="s">
        <v>426</v>
      </c>
      <c r="T40" s="1411" t="s">
        <v>426</v>
      </c>
      <c r="U40" s="1411" t="s">
        <v>427</v>
      </c>
      <c r="V40" s="1411" t="s">
        <v>427</v>
      </c>
      <c r="W40" s="1411" t="s">
        <v>427</v>
      </c>
      <c r="X40" s="1411" t="s">
        <v>427</v>
      </c>
      <c r="Y40" s="1411" t="s">
        <v>428</v>
      </c>
      <c r="Z40" s="1411" t="s">
        <v>428</v>
      </c>
      <c r="AA40" s="1411" t="s">
        <v>428</v>
      </c>
      <c r="AB40" s="1411" t="s">
        <v>428</v>
      </c>
      <c r="AC40" s="1411" t="s">
        <v>429</v>
      </c>
      <c r="AD40" s="1411" t="s">
        <v>429</v>
      </c>
      <c r="AE40" s="1411" t="s">
        <v>429</v>
      </c>
      <c r="AF40" s="1411" t="s">
        <v>429</v>
      </c>
      <c r="AG40" s="1411" t="s">
        <v>298</v>
      </c>
      <c r="AH40" s="1411" t="s">
        <v>298</v>
      </c>
      <c r="AI40" s="1411" t="s">
        <v>298</v>
      </c>
      <c r="AJ40" s="1411" t="s">
        <v>298</v>
      </c>
      <c r="AK40" s="1411" t="s">
        <v>299</v>
      </c>
      <c r="AL40" s="1411" t="s">
        <v>299</v>
      </c>
      <c r="AM40" s="1411" t="s">
        <v>299</v>
      </c>
      <c r="AN40" s="1411" t="s">
        <v>299</v>
      </c>
      <c r="AO40" s="1411" t="s">
        <v>300</v>
      </c>
      <c r="AP40" s="1411" t="s">
        <v>300</v>
      </c>
      <c r="AQ40" s="1411" t="s">
        <v>300</v>
      </c>
      <c r="AR40" s="1411" t="s">
        <v>300</v>
      </c>
    </row>
    <row r="41" s="1389" customFormat="1" ht="18" customHeight="1" outlineLevel="1" spans="1:44">
      <c r="A41" s="1410" t="s">
        <v>53</v>
      </c>
      <c r="B41" s="1410"/>
      <c r="C41" s="1411" t="s">
        <v>119</v>
      </c>
      <c r="D41" s="1411" t="s">
        <v>120</v>
      </c>
      <c r="E41" s="1411" t="s">
        <v>121</v>
      </c>
      <c r="F41" s="1411" t="s">
        <v>122</v>
      </c>
      <c r="G41" s="1411" t="s">
        <v>123</v>
      </c>
      <c r="H41" s="1411" t="s">
        <v>124</v>
      </c>
      <c r="I41" s="1411" t="s">
        <v>125</v>
      </c>
      <c r="J41" s="1411" t="s">
        <v>126</v>
      </c>
      <c r="K41" s="1411" t="s">
        <v>127</v>
      </c>
      <c r="L41" s="1411" t="s">
        <v>128</v>
      </c>
      <c r="M41" s="1411" t="s">
        <v>129</v>
      </c>
      <c r="N41" s="1411" t="s">
        <v>130</v>
      </c>
      <c r="O41" s="1411" t="s">
        <v>131</v>
      </c>
      <c r="P41" s="1411" t="s">
        <v>132</v>
      </c>
      <c r="Q41" s="1411" t="s">
        <v>133</v>
      </c>
      <c r="R41" s="1411" t="s">
        <v>134</v>
      </c>
      <c r="S41" s="1411" t="s">
        <v>135</v>
      </c>
      <c r="T41" s="1411" t="s">
        <v>136</v>
      </c>
      <c r="U41" s="1411" t="s">
        <v>137</v>
      </c>
      <c r="V41" s="1411" t="s">
        <v>138</v>
      </c>
      <c r="W41" s="1411" t="s">
        <v>302</v>
      </c>
      <c r="X41" s="1411" t="s">
        <v>303</v>
      </c>
      <c r="Y41" s="1411" t="s">
        <v>271</v>
      </c>
      <c r="Z41" s="1411" t="s">
        <v>264</v>
      </c>
      <c r="AA41" s="1411" t="s">
        <v>304</v>
      </c>
      <c r="AB41" s="1411" t="s">
        <v>305</v>
      </c>
      <c r="AC41" s="1411" t="s">
        <v>306</v>
      </c>
      <c r="AD41" s="1411" t="s">
        <v>307</v>
      </c>
      <c r="AE41" s="1411" t="s">
        <v>308</v>
      </c>
      <c r="AF41" s="1411" t="s">
        <v>309</v>
      </c>
      <c r="AG41" s="1411" t="s">
        <v>310</v>
      </c>
      <c r="AH41" s="1411" t="s">
        <v>311</v>
      </c>
      <c r="AI41" s="1411" t="s">
        <v>312</v>
      </c>
      <c r="AJ41" s="1411" t="s">
        <v>313</v>
      </c>
      <c r="AK41" s="1411" t="s">
        <v>314</v>
      </c>
      <c r="AL41" s="1411" t="s">
        <v>315</v>
      </c>
      <c r="AM41" s="1411" t="s">
        <v>316</v>
      </c>
      <c r="AN41" s="1411" t="s">
        <v>317</v>
      </c>
      <c r="AO41" s="1411" t="s">
        <v>318</v>
      </c>
      <c r="AP41" s="1411" t="s">
        <v>319</v>
      </c>
      <c r="AQ41" s="1411" t="s">
        <v>320</v>
      </c>
      <c r="AR41" s="1411" t="s">
        <v>321</v>
      </c>
    </row>
    <row r="42" s="1389" customFormat="1" ht="18" customHeight="1" outlineLevel="1" spans="1:44">
      <c r="A42" s="1412" t="s">
        <v>480</v>
      </c>
      <c r="B42" s="1413">
        <v>1</v>
      </c>
      <c r="C42" s="1412"/>
      <c r="D42" s="1412"/>
      <c r="E42" s="1412"/>
      <c r="F42" s="1412"/>
      <c r="G42" s="1412"/>
      <c r="H42" s="1412"/>
      <c r="I42" s="1412"/>
      <c r="J42" s="1412"/>
      <c r="K42" s="1412"/>
      <c r="L42" s="1412"/>
      <c r="M42" s="1412"/>
      <c r="N42" s="1412">
        <v>0.15</v>
      </c>
      <c r="O42" s="1412">
        <v>0.2</v>
      </c>
      <c r="P42" s="1412">
        <v>0.2</v>
      </c>
      <c r="Q42" s="1412">
        <v>0.2</v>
      </c>
      <c r="R42" s="1412">
        <v>0.2</v>
      </c>
      <c r="S42" s="1412">
        <v>0.05</v>
      </c>
      <c r="T42" s="1412"/>
      <c r="U42" s="1412"/>
      <c r="V42" s="1412"/>
      <c r="W42" s="1412"/>
      <c r="X42" s="1412"/>
      <c r="Y42" s="1412"/>
      <c r="Z42" s="1412"/>
      <c r="AA42" s="1412"/>
      <c r="AB42" s="1412"/>
      <c r="AC42" s="1412"/>
      <c r="AD42" s="1412"/>
      <c r="AE42" s="1412"/>
      <c r="AF42" s="1412"/>
      <c r="AG42" s="1412"/>
      <c r="AH42" s="1412"/>
      <c r="AI42" s="1412"/>
      <c r="AJ42" s="1412"/>
      <c r="AK42" s="1412"/>
      <c r="AL42" s="1412"/>
      <c r="AM42" s="1412"/>
      <c r="AN42" s="1412"/>
      <c r="AO42" s="1412"/>
      <c r="AP42" s="1412"/>
      <c r="AQ42" s="1412"/>
      <c r="AR42" s="1412"/>
    </row>
    <row r="43" s="1389" customFormat="1" ht="18" customHeight="1" outlineLevel="1" spans="1:44">
      <c r="A43" s="1412" t="s">
        <v>481</v>
      </c>
      <c r="B43" s="1413">
        <v>1</v>
      </c>
      <c r="C43" s="1412"/>
      <c r="D43" s="1412"/>
      <c r="E43" s="1412"/>
      <c r="F43" s="1412"/>
      <c r="G43" s="1412"/>
      <c r="H43" s="1412"/>
      <c r="I43" s="1412"/>
      <c r="J43" s="1412"/>
      <c r="K43" s="1412"/>
      <c r="L43" s="1412"/>
      <c r="M43" s="1412"/>
      <c r="N43" s="1412">
        <v>0.05</v>
      </c>
      <c r="O43" s="1412">
        <v>0.1</v>
      </c>
      <c r="P43" s="1412">
        <v>0.15</v>
      </c>
      <c r="Q43" s="1412">
        <v>0.15</v>
      </c>
      <c r="R43" s="1412">
        <v>0.15</v>
      </c>
      <c r="S43" s="1412">
        <v>0.1</v>
      </c>
      <c r="T43" s="1412">
        <v>0.1</v>
      </c>
      <c r="U43" s="1412">
        <v>0.1</v>
      </c>
      <c r="V43" s="1412">
        <v>0.05</v>
      </c>
      <c r="W43" s="1412">
        <v>0.05</v>
      </c>
      <c r="X43" s="1412"/>
      <c r="Y43" s="1412"/>
      <c r="Z43" s="1412"/>
      <c r="AA43" s="1412"/>
      <c r="AB43" s="1412"/>
      <c r="AC43" s="1412"/>
      <c r="AD43" s="1412"/>
      <c r="AE43" s="1412"/>
      <c r="AF43" s="1412"/>
      <c r="AG43" s="1412"/>
      <c r="AH43" s="1412"/>
      <c r="AI43" s="1412"/>
      <c r="AJ43" s="1412"/>
      <c r="AK43" s="1412"/>
      <c r="AL43" s="1412"/>
      <c r="AM43" s="1412"/>
      <c r="AN43" s="1412"/>
      <c r="AO43" s="1412"/>
      <c r="AP43" s="1412"/>
      <c r="AQ43" s="1412"/>
      <c r="AR43" s="1412"/>
    </row>
    <row r="44" s="1389" customFormat="1" ht="18" customHeight="1" outlineLevel="1" spans="1:44">
      <c r="A44" s="1412" t="s">
        <v>482</v>
      </c>
      <c r="B44" s="1413">
        <v>1</v>
      </c>
      <c r="C44" s="1412"/>
      <c r="D44" s="1412"/>
      <c r="E44" s="1412"/>
      <c r="F44" s="1412"/>
      <c r="G44" s="1412"/>
      <c r="H44" s="1412"/>
      <c r="I44" s="1412"/>
      <c r="J44" s="1412"/>
      <c r="K44" s="1412"/>
      <c r="L44" s="1412"/>
      <c r="M44" s="1412"/>
      <c r="N44" s="1412"/>
      <c r="O44" s="1412"/>
      <c r="P44" s="1412"/>
      <c r="Q44" s="1412">
        <v>0.15</v>
      </c>
      <c r="R44" s="1412">
        <v>0.15</v>
      </c>
      <c r="S44" s="1412">
        <v>0.15</v>
      </c>
      <c r="T44" s="1412">
        <v>0.15</v>
      </c>
      <c r="U44" s="1412">
        <v>0.1</v>
      </c>
      <c r="V44" s="1412">
        <v>0.1</v>
      </c>
      <c r="W44" s="1412">
        <v>0.1</v>
      </c>
      <c r="X44" s="1412">
        <v>0.05</v>
      </c>
      <c r="Y44" s="1412">
        <v>0.05</v>
      </c>
      <c r="Z44" s="1412"/>
      <c r="AA44" s="1412"/>
      <c r="AB44" s="1412"/>
      <c r="AC44" s="1412"/>
      <c r="AD44" s="1412"/>
      <c r="AE44" s="1412"/>
      <c r="AF44" s="1412"/>
      <c r="AG44" s="1412"/>
      <c r="AH44" s="1412"/>
      <c r="AI44" s="1412"/>
      <c r="AJ44" s="1412"/>
      <c r="AK44" s="1412"/>
      <c r="AL44" s="1412"/>
      <c r="AM44" s="1412"/>
      <c r="AN44" s="1412"/>
      <c r="AO44" s="1412"/>
      <c r="AP44" s="1412"/>
      <c r="AQ44" s="1412"/>
      <c r="AR44" s="1412"/>
    </row>
    <row r="45" s="1389" customFormat="1" ht="18" customHeight="1" outlineLevel="1" spans="1:44">
      <c r="A45" s="1412" t="s">
        <v>483</v>
      </c>
      <c r="B45" s="1413">
        <v>1</v>
      </c>
      <c r="C45" s="1412"/>
      <c r="D45" s="1412"/>
      <c r="E45" s="1412"/>
      <c r="F45" s="1412"/>
      <c r="G45" s="1412"/>
      <c r="H45" s="1412"/>
      <c r="I45" s="1412"/>
      <c r="J45" s="1412"/>
      <c r="K45" s="1412"/>
      <c r="L45" s="1412"/>
      <c r="M45" s="1412"/>
      <c r="N45" s="1412"/>
      <c r="O45" s="1412"/>
      <c r="P45" s="1412"/>
      <c r="Q45" s="1412">
        <v>0.15</v>
      </c>
      <c r="R45" s="1412">
        <v>0.15</v>
      </c>
      <c r="S45" s="1412">
        <v>0.15</v>
      </c>
      <c r="T45" s="1412">
        <v>0.15</v>
      </c>
      <c r="U45" s="1412">
        <v>0.1</v>
      </c>
      <c r="V45" s="1412">
        <v>0.1</v>
      </c>
      <c r="W45" s="1412">
        <v>0.1</v>
      </c>
      <c r="X45" s="1412">
        <v>0.05</v>
      </c>
      <c r="Y45" s="1412">
        <v>0.05</v>
      </c>
      <c r="Z45" s="1412"/>
      <c r="AA45" s="1412"/>
      <c r="AB45" s="1412"/>
      <c r="AC45" s="1412"/>
      <c r="AD45" s="1412"/>
      <c r="AE45" s="1412"/>
      <c r="AF45" s="1412"/>
      <c r="AG45" s="1412"/>
      <c r="AH45" s="1412"/>
      <c r="AI45" s="1412"/>
      <c r="AJ45" s="1412"/>
      <c r="AK45" s="1412"/>
      <c r="AL45" s="1412"/>
      <c r="AM45" s="1412"/>
      <c r="AN45" s="1412"/>
      <c r="AO45" s="1412"/>
      <c r="AP45" s="1412"/>
      <c r="AQ45" s="1412"/>
      <c r="AR45" s="1412"/>
    </row>
    <row r="46" s="1389" customFormat="1" ht="18" customHeight="1" outlineLevel="1" spans="1:44">
      <c r="A46" s="1412" t="s">
        <v>484</v>
      </c>
      <c r="B46" s="1413">
        <v>1</v>
      </c>
      <c r="C46" s="1412"/>
      <c r="D46" s="1412"/>
      <c r="E46" s="1412"/>
      <c r="F46" s="1412"/>
      <c r="G46" s="1412"/>
      <c r="H46" s="1412"/>
      <c r="I46" s="1412"/>
      <c r="J46" s="1412"/>
      <c r="K46" s="1412"/>
      <c r="L46" s="1412"/>
      <c r="M46" s="1412"/>
      <c r="N46" s="1412"/>
      <c r="O46" s="1412"/>
      <c r="P46" s="1412"/>
      <c r="Q46" s="1412">
        <v>0.15</v>
      </c>
      <c r="R46" s="1412">
        <v>0.15</v>
      </c>
      <c r="S46" s="1412">
        <v>0.15</v>
      </c>
      <c r="T46" s="1412">
        <v>0.15</v>
      </c>
      <c r="U46" s="1412">
        <v>0.1</v>
      </c>
      <c r="V46" s="1412">
        <v>0.1</v>
      </c>
      <c r="W46" s="1412">
        <v>0.1</v>
      </c>
      <c r="X46" s="1412">
        <v>0.05</v>
      </c>
      <c r="Y46" s="1412">
        <v>0.05</v>
      </c>
      <c r="Z46" s="1412"/>
      <c r="AA46" s="1412"/>
      <c r="AB46" s="1412"/>
      <c r="AC46" s="1412"/>
      <c r="AD46" s="1412"/>
      <c r="AE46" s="1412"/>
      <c r="AF46" s="1412"/>
      <c r="AG46" s="1412"/>
      <c r="AH46" s="1412"/>
      <c r="AI46" s="1412"/>
      <c r="AJ46" s="1412"/>
      <c r="AK46" s="1412"/>
      <c r="AL46" s="1412"/>
      <c r="AM46" s="1412"/>
      <c r="AN46" s="1412"/>
      <c r="AO46" s="1412"/>
      <c r="AP46" s="1412"/>
      <c r="AQ46" s="1412"/>
      <c r="AR46" s="1412"/>
    </row>
    <row r="47" s="1389" customFormat="1" ht="18" customHeight="1" outlineLevel="1" spans="1:44">
      <c r="A47" s="1412" t="s">
        <v>485</v>
      </c>
      <c r="B47" s="1413">
        <v>1</v>
      </c>
      <c r="C47" s="1412"/>
      <c r="D47" s="1412"/>
      <c r="E47" s="1412"/>
      <c r="F47" s="1412"/>
      <c r="G47" s="1412"/>
      <c r="H47" s="1412"/>
      <c r="I47" s="1412"/>
      <c r="J47" s="1412"/>
      <c r="K47" s="1412"/>
      <c r="L47" s="1412"/>
      <c r="M47" s="1412"/>
      <c r="N47" s="1412">
        <v>0.1</v>
      </c>
      <c r="O47" s="1412">
        <v>0.15</v>
      </c>
      <c r="P47" s="1412">
        <v>0.15</v>
      </c>
      <c r="Q47" s="1412">
        <v>0.1</v>
      </c>
      <c r="R47" s="1412">
        <v>0.1</v>
      </c>
      <c r="S47" s="1412">
        <v>0.1</v>
      </c>
      <c r="T47" s="1412">
        <v>0.1</v>
      </c>
      <c r="U47" s="1412">
        <v>0.1</v>
      </c>
      <c r="V47" s="1412">
        <v>0.1</v>
      </c>
      <c r="W47" s="1412"/>
      <c r="X47" s="1412"/>
      <c r="Y47" s="1412"/>
      <c r="Z47" s="1412"/>
      <c r="AA47" s="1412"/>
      <c r="AB47" s="1412"/>
      <c r="AC47" s="1412"/>
      <c r="AD47" s="1412"/>
      <c r="AE47" s="1412"/>
      <c r="AF47" s="1412"/>
      <c r="AG47" s="1412"/>
      <c r="AH47" s="1412"/>
      <c r="AI47" s="1412"/>
      <c r="AJ47" s="1412"/>
      <c r="AK47" s="1412"/>
      <c r="AL47" s="1412"/>
      <c r="AM47" s="1412"/>
      <c r="AN47" s="1412"/>
      <c r="AO47" s="1412"/>
      <c r="AP47" s="1412"/>
      <c r="AQ47" s="1412"/>
      <c r="AR47" s="1412"/>
    </row>
    <row r="48" ht="18" customHeight="1"/>
    <row r="51" s="1389" customFormat="1" ht="18" customHeight="1" outlineLevel="1" spans="1:44">
      <c r="A51" s="1410" t="s">
        <v>479</v>
      </c>
      <c r="B51" s="1410" t="s">
        <v>2</v>
      </c>
      <c r="C51" s="1411" t="s">
        <v>422</v>
      </c>
      <c r="D51" s="1411" t="s">
        <v>422</v>
      </c>
      <c r="E51" s="1411" t="s">
        <v>423</v>
      </c>
      <c r="F51" s="1411" t="s">
        <v>423</v>
      </c>
      <c r="G51" s="1411" t="s">
        <v>423</v>
      </c>
      <c r="H51" s="1411" t="s">
        <v>423</v>
      </c>
      <c r="I51" s="1411" t="s">
        <v>424</v>
      </c>
      <c r="J51" s="1411" t="s">
        <v>424</v>
      </c>
      <c r="K51" s="1411" t="s">
        <v>424</v>
      </c>
      <c r="L51" s="1411" t="s">
        <v>424</v>
      </c>
      <c r="M51" s="1411" t="s">
        <v>425</v>
      </c>
      <c r="N51" s="1411" t="s">
        <v>425</v>
      </c>
      <c r="O51" s="1411" t="s">
        <v>425</v>
      </c>
      <c r="P51" s="1411" t="s">
        <v>425</v>
      </c>
      <c r="Q51" s="1411" t="s">
        <v>426</v>
      </c>
      <c r="R51" s="1411" t="s">
        <v>426</v>
      </c>
      <c r="S51" s="1411" t="s">
        <v>426</v>
      </c>
      <c r="T51" s="1411" t="s">
        <v>426</v>
      </c>
      <c r="U51" s="1411" t="s">
        <v>427</v>
      </c>
      <c r="V51" s="1411" t="s">
        <v>427</v>
      </c>
      <c r="W51" s="1411" t="s">
        <v>427</v>
      </c>
      <c r="X51" s="1411" t="s">
        <v>427</v>
      </c>
      <c r="Y51" s="1411" t="s">
        <v>428</v>
      </c>
      <c r="Z51" s="1411" t="s">
        <v>428</v>
      </c>
      <c r="AA51" s="1411" t="s">
        <v>428</v>
      </c>
      <c r="AB51" s="1411" t="s">
        <v>428</v>
      </c>
      <c r="AC51" s="1411" t="s">
        <v>429</v>
      </c>
      <c r="AD51" s="1411" t="s">
        <v>429</v>
      </c>
      <c r="AE51" s="1411" t="s">
        <v>429</v>
      </c>
      <c r="AF51" s="1411" t="s">
        <v>429</v>
      </c>
      <c r="AG51" s="1411" t="s">
        <v>298</v>
      </c>
      <c r="AH51" s="1411" t="s">
        <v>298</v>
      </c>
      <c r="AI51" s="1411" t="s">
        <v>298</v>
      </c>
      <c r="AJ51" s="1411" t="s">
        <v>298</v>
      </c>
      <c r="AK51" s="1411" t="s">
        <v>299</v>
      </c>
      <c r="AL51" s="1411" t="s">
        <v>299</v>
      </c>
      <c r="AM51" s="1411" t="s">
        <v>299</v>
      </c>
      <c r="AN51" s="1411" t="s">
        <v>299</v>
      </c>
      <c r="AO51" s="1411" t="s">
        <v>300</v>
      </c>
      <c r="AP51" s="1411" t="s">
        <v>300</v>
      </c>
      <c r="AQ51" s="1411" t="s">
        <v>300</v>
      </c>
      <c r="AR51" s="1411" t="s">
        <v>300</v>
      </c>
    </row>
    <row r="52" s="1389" customFormat="1" ht="18" customHeight="1" outlineLevel="1" spans="1:44">
      <c r="A52" s="1410"/>
      <c r="B52" s="1410"/>
      <c r="C52" s="1411" t="s">
        <v>119</v>
      </c>
      <c r="D52" s="1411" t="s">
        <v>120</v>
      </c>
      <c r="E52" s="1411" t="s">
        <v>121</v>
      </c>
      <c r="F52" s="1411" t="s">
        <v>122</v>
      </c>
      <c r="G52" s="1411" t="s">
        <v>123</v>
      </c>
      <c r="H52" s="1411" t="s">
        <v>124</v>
      </c>
      <c r="I52" s="1411" t="s">
        <v>125</v>
      </c>
      <c r="J52" s="1411" t="s">
        <v>126</v>
      </c>
      <c r="K52" s="1411" t="s">
        <v>127</v>
      </c>
      <c r="L52" s="1411" t="s">
        <v>128</v>
      </c>
      <c r="M52" s="1411" t="s">
        <v>129</v>
      </c>
      <c r="N52" s="1411" t="s">
        <v>130</v>
      </c>
      <c r="O52" s="1411" t="s">
        <v>131</v>
      </c>
      <c r="P52" s="1411" t="s">
        <v>132</v>
      </c>
      <c r="Q52" s="1411" t="s">
        <v>133</v>
      </c>
      <c r="R52" s="1411" t="s">
        <v>134</v>
      </c>
      <c r="S52" s="1411" t="s">
        <v>135</v>
      </c>
      <c r="T52" s="1411" t="s">
        <v>136</v>
      </c>
      <c r="U52" s="1411" t="s">
        <v>137</v>
      </c>
      <c r="V52" s="1411" t="s">
        <v>138</v>
      </c>
      <c r="W52" s="1411" t="s">
        <v>302</v>
      </c>
      <c r="X52" s="1411" t="s">
        <v>303</v>
      </c>
      <c r="Y52" s="1411" t="s">
        <v>271</v>
      </c>
      <c r="Z52" s="1411" t="s">
        <v>264</v>
      </c>
      <c r="AA52" s="1411" t="s">
        <v>304</v>
      </c>
      <c r="AB52" s="1411" t="s">
        <v>305</v>
      </c>
      <c r="AC52" s="1411" t="s">
        <v>306</v>
      </c>
      <c r="AD52" s="1411" t="s">
        <v>307</v>
      </c>
      <c r="AE52" s="1411" t="s">
        <v>308</v>
      </c>
      <c r="AF52" s="1411" t="s">
        <v>309</v>
      </c>
      <c r="AG52" s="1411" t="s">
        <v>310</v>
      </c>
      <c r="AH52" s="1411" t="s">
        <v>311</v>
      </c>
      <c r="AI52" s="1411" t="s">
        <v>312</v>
      </c>
      <c r="AJ52" s="1411" t="s">
        <v>313</v>
      </c>
      <c r="AK52" s="1411" t="s">
        <v>314</v>
      </c>
      <c r="AL52" s="1411" t="s">
        <v>315</v>
      </c>
      <c r="AM52" s="1411" t="s">
        <v>316</v>
      </c>
      <c r="AN52" s="1411" t="s">
        <v>317</v>
      </c>
      <c r="AO52" s="1411" t="s">
        <v>318</v>
      </c>
      <c r="AP52" s="1411" t="s">
        <v>319</v>
      </c>
      <c r="AQ52" s="1411" t="s">
        <v>320</v>
      </c>
      <c r="AR52" s="1411" t="s">
        <v>321</v>
      </c>
    </row>
    <row r="53" s="1390" customFormat="1" ht="18" customHeight="1" spans="1:44">
      <c r="A53" s="1414" t="s">
        <v>2</v>
      </c>
      <c r="B53" s="1414">
        <v>105631.203411557</v>
      </c>
      <c r="C53" s="1414">
        <v>0</v>
      </c>
      <c r="D53" s="1414">
        <v>0</v>
      </c>
      <c r="E53" s="1414">
        <v>0</v>
      </c>
      <c r="F53" s="1414">
        <v>0</v>
      </c>
      <c r="G53" s="1414">
        <v>0</v>
      </c>
      <c r="H53" s="1414">
        <v>0</v>
      </c>
      <c r="I53" s="1414">
        <v>0</v>
      </c>
      <c r="J53" s="1414">
        <v>0</v>
      </c>
      <c r="K53" s="1414">
        <v>0</v>
      </c>
      <c r="L53" s="1414">
        <v>0</v>
      </c>
      <c r="M53" s="1414">
        <v>0</v>
      </c>
      <c r="N53" s="1414">
        <v>1326.12297347719</v>
      </c>
      <c r="O53" s="1414">
        <v>3562.51241266692</v>
      </c>
      <c r="P53" s="1414">
        <v>6027.64743876445</v>
      </c>
      <c r="Q53" s="1414">
        <v>8645.7885459852</v>
      </c>
      <c r="R53" s="1414">
        <v>13182.3773543973</v>
      </c>
      <c r="S53" s="1414">
        <v>13444.0632406118</v>
      </c>
      <c r="T53" s="1414">
        <v>12280.8836199221</v>
      </c>
      <c r="U53" s="1414">
        <v>11277.3360298151</v>
      </c>
      <c r="V53" s="1414">
        <v>9201.78870564066</v>
      </c>
      <c r="W53" s="1414">
        <v>8179.74493565345</v>
      </c>
      <c r="X53" s="1414">
        <v>5943.93625863057</v>
      </c>
      <c r="Y53" s="1414">
        <v>5149.90104517354</v>
      </c>
      <c r="Z53" s="1414">
        <v>3030.53660726814</v>
      </c>
      <c r="AA53" s="1414">
        <v>2790.49381663701</v>
      </c>
      <c r="AB53" s="1414">
        <v>794.03521345703</v>
      </c>
      <c r="AC53" s="1414">
        <v>794.035213457031</v>
      </c>
      <c r="AD53" s="1414">
        <v>0</v>
      </c>
      <c r="AE53" s="1414">
        <v>0</v>
      </c>
      <c r="AF53" s="1414">
        <v>0</v>
      </c>
      <c r="AG53" s="1414">
        <v>0</v>
      </c>
      <c r="AH53" s="1414">
        <v>0</v>
      </c>
      <c r="AI53" s="1414">
        <v>0</v>
      </c>
      <c r="AJ53" s="1414">
        <v>0</v>
      </c>
      <c r="AK53" s="1414">
        <v>0</v>
      </c>
      <c r="AL53" s="1414">
        <v>0</v>
      </c>
      <c r="AM53" s="1414">
        <v>0</v>
      </c>
      <c r="AN53" s="1414">
        <v>0</v>
      </c>
      <c r="AO53" s="1414">
        <v>0</v>
      </c>
      <c r="AP53" s="1414">
        <v>0</v>
      </c>
      <c r="AQ53" s="1414">
        <v>0</v>
      </c>
      <c r="AR53" s="1414">
        <v>0</v>
      </c>
    </row>
    <row r="54" s="1391" customFormat="1" ht="18" customHeight="1" outlineLevel="1" spans="1:45">
      <c r="A54" s="1415" t="s">
        <v>50</v>
      </c>
      <c r="B54" s="1415">
        <v>48132.8270304145</v>
      </c>
      <c r="C54" s="1415">
        <v>0</v>
      </c>
      <c r="D54" s="1415">
        <v>0</v>
      </c>
      <c r="E54" s="1415">
        <v>0</v>
      </c>
      <c r="F54" s="1415">
        <v>0</v>
      </c>
      <c r="G54" s="1415">
        <v>0</v>
      </c>
      <c r="H54" s="1415">
        <v>0</v>
      </c>
      <c r="I54" s="1415">
        <v>0</v>
      </c>
      <c r="J54" s="1415">
        <v>0</v>
      </c>
      <c r="K54" s="1415">
        <v>0</v>
      </c>
      <c r="L54" s="1415">
        <v>0</v>
      </c>
      <c r="M54" s="1415">
        <v>0</v>
      </c>
      <c r="N54" s="1415">
        <v>965.768371494174</v>
      </c>
      <c r="O54" s="1415">
        <v>2961.51011745521</v>
      </c>
      <c r="P54" s="1415">
        <v>5254.0449119694</v>
      </c>
      <c r="Q54" s="1415">
        <v>7470.2201947288</v>
      </c>
      <c r="R54" s="1415">
        <v>7470.2201947288</v>
      </c>
      <c r="S54" s="1415">
        <v>6737.03986881509</v>
      </c>
      <c r="T54" s="1415">
        <v>6003.85954290138</v>
      </c>
      <c r="U54" s="1415">
        <v>4080.10237712774</v>
      </c>
      <c r="V54" s="1415">
        <v>2933.83497987065</v>
      </c>
      <c r="W54" s="1415">
        <v>2701.24693429018</v>
      </c>
      <c r="X54" s="1415">
        <v>777.489768516545</v>
      </c>
      <c r="Y54" s="1415">
        <v>777.489768516544</v>
      </c>
      <c r="Z54" s="1415">
        <v>0</v>
      </c>
      <c r="AA54" s="1415">
        <v>0</v>
      </c>
      <c r="AB54" s="1415">
        <v>0</v>
      </c>
      <c r="AC54" s="1415">
        <v>0</v>
      </c>
      <c r="AD54" s="1415">
        <v>0</v>
      </c>
      <c r="AE54" s="1415">
        <v>0</v>
      </c>
      <c r="AF54" s="1415">
        <v>0</v>
      </c>
      <c r="AG54" s="1415">
        <v>0</v>
      </c>
      <c r="AH54" s="1415">
        <v>0</v>
      </c>
      <c r="AI54" s="1415">
        <v>0</v>
      </c>
      <c r="AJ54" s="1415">
        <v>0</v>
      </c>
      <c r="AK54" s="1415">
        <v>0</v>
      </c>
      <c r="AL54" s="1415">
        <v>0</v>
      </c>
      <c r="AM54" s="1415">
        <v>0</v>
      </c>
      <c r="AN54" s="1415">
        <v>0</v>
      </c>
      <c r="AO54" s="1415">
        <v>0</v>
      </c>
      <c r="AP54" s="1415">
        <v>0</v>
      </c>
      <c r="AQ54" s="1415">
        <v>0</v>
      </c>
      <c r="AR54" s="1415">
        <v>0</v>
      </c>
      <c r="AS54" s="1390"/>
    </row>
    <row r="55" s="1392" customFormat="1" ht="18" customHeight="1" outlineLevel="2" spans="1:45">
      <c r="A55" s="1416" t="s">
        <v>480</v>
      </c>
      <c r="B55" s="1415">
        <v>7331.80325913707</v>
      </c>
      <c r="C55" s="1416"/>
      <c r="D55" s="1416"/>
      <c r="E55" s="1416"/>
      <c r="F55" s="1416">
        <v>0</v>
      </c>
      <c r="G55" s="1416">
        <v>0</v>
      </c>
      <c r="H55" s="1416">
        <v>0</v>
      </c>
      <c r="I55" s="1416">
        <v>0</v>
      </c>
      <c r="J55" s="1416">
        <v>0</v>
      </c>
      <c r="K55" s="1416">
        <v>0</v>
      </c>
      <c r="L55" s="1416">
        <v>0</v>
      </c>
      <c r="M55" s="1416">
        <v>0</v>
      </c>
      <c r="N55" s="1416">
        <v>733.180325913707</v>
      </c>
      <c r="O55" s="1416">
        <v>1466.36065182741</v>
      </c>
      <c r="P55" s="1416">
        <v>1466.36065182741</v>
      </c>
      <c r="Q55" s="1416">
        <v>1466.36065182741</v>
      </c>
      <c r="R55" s="1416">
        <v>1466.36065182741</v>
      </c>
      <c r="S55" s="1416">
        <v>733.180325913707</v>
      </c>
      <c r="T55" s="1416">
        <v>0</v>
      </c>
      <c r="U55" s="1416">
        <v>0</v>
      </c>
      <c r="V55" s="1416">
        <v>0</v>
      </c>
      <c r="W55" s="1416">
        <v>0</v>
      </c>
      <c r="X55" s="1416">
        <v>0</v>
      </c>
      <c r="Y55" s="1416">
        <v>0</v>
      </c>
      <c r="Z55" s="1416">
        <v>0</v>
      </c>
      <c r="AA55" s="1416">
        <v>0</v>
      </c>
      <c r="AB55" s="1416">
        <v>0</v>
      </c>
      <c r="AC55" s="1416">
        <v>0</v>
      </c>
      <c r="AD55" s="1416">
        <v>0</v>
      </c>
      <c r="AE55" s="1416">
        <v>0</v>
      </c>
      <c r="AF55" s="1416">
        <v>0</v>
      </c>
      <c r="AG55" s="1416">
        <v>0</v>
      </c>
      <c r="AH55" s="1416">
        <v>0</v>
      </c>
      <c r="AI55" s="1416">
        <v>0</v>
      </c>
      <c r="AJ55" s="1416">
        <v>0</v>
      </c>
      <c r="AK55" s="1416">
        <v>0</v>
      </c>
      <c r="AL55" s="1416">
        <v>0</v>
      </c>
      <c r="AM55" s="1416">
        <v>0</v>
      </c>
      <c r="AN55" s="1416">
        <v>0</v>
      </c>
      <c r="AO55" s="1416">
        <v>0</v>
      </c>
      <c r="AP55" s="1416">
        <v>0</v>
      </c>
      <c r="AQ55" s="1416">
        <v>0</v>
      </c>
      <c r="AR55" s="1416">
        <v>0</v>
      </c>
      <c r="AS55" s="1390"/>
    </row>
    <row r="56" s="1390" customFormat="1" ht="18" customHeight="1" outlineLevel="2" spans="1:44">
      <c r="A56" s="1417" t="s">
        <v>481</v>
      </c>
      <c r="B56" s="1415">
        <v>22925.3479451419</v>
      </c>
      <c r="C56" s="1416"/>
      <c r="D56" s="1416"/>
      <c r="E56" s="1416"/>
      <c r="F56" s="1416">
        <v>0</v>
      </c>
      <c r="G56" s="1416">
        <v>0</v>
      </c>
      <c r="H56" s="1416">
        <v>0</v>
      </c>
      <c r="I56" s="1416">
        <v>0</v>
      </c>
      <c r="J56" s="1416">
        <v>0</v>
      </c>
      <c r="K56" s="1416">
        <v>0</v>
      </c>
      <c r="L56" s="1416">
        <v>0</v>
      </c>
      <c r="M56" s="1416">
        <v>0</v>
      </c>
      <c r="N56" s="1416">
        <v>0</v>
      </c>
      <c r="O56" s="1416">
        <v>1146.2673972571</v>
      </c>
      <c r="P56" s="1416">
        <v>3438.80219177129</v>
      </c>
      <c r="Q56" s="1416">
        <v>3438.80219177129</v>
      </c>
      <c r="R56" s="1416">
        <v>3438.80219177129</v>
      </c>
      <c r="S56" s="1416">
        <v>3438.80219177129</v>
      </c>
      <c r="T56" s="1416">
        <v>3438.80219177128</v>
      </c>
      <c r="U56" s="1416">
        <v>2292.53479451419</v>
      </c>
      <c r="V56" s="1416">
        <v>1146.2673972571</v>
      </c>
      <c r="W56" s="1416">
        <v>1146.2673972571</v>
      </c>
      <c r="X56" s="1416">
        <v>0</v>
      </c>
      <c r="Y56" s="1416">
        <v>0</v>
      </c>
      <c r="Z56" s="1416">
        <v>0</v>
      </c>
      <c r="AA56" s="1416">
        <v>0</v>
      </c>
      <c r="AB56" s="1416">
        <v>0</v>
      </c>
      <c r="AC56" s="1416">
        <v>0</v>
      </c>
      <c r="AD56" s="1416">
        <v>0</v>
      </c>
      <c r="AE56" s="1416">
        <v>0</v>
      </c>
      <c r="AF56" s="1416">
        <v>0</v>
      </c>
      <c r="AG56" s="1416">
        <v>0</v>
      </c>
      <c r="AH56" s="1416">
        <v>0</v>
      </c>
      <c r="AI56" s="1416">
        <v>0</v>
      </c>
      <c r="AJ56" s="1416">
        <v>0</v>
      </c>
      <c r="AK56" s="1416">
        <v>0</v>
      </c>
      <c r="AL56" s="1416">
        <v>0</v>
      </c>
      <c r="AM56" s="1416">
        <v>0</v>
      </c>
      <c r="AN56" s="1416">
        <v>0</v>
      </c>
      <c r="AO56" s="1416">
        <v>0</v>
      </c>
      <c r="AP56" s="1416">
        <v>0</v>
      </c>
      <c r="AQ56" s="1416">
        <v>0</v>
      </c>
      <c r="AR56" s="1416">
        <v>0</v>
      </c>
    </row>
    <row r="57" s="1390" customFormat="1" ht="18" customHeight="1" outlineLevel="2" spans="1:44">
      <c r="A57" s="1417" t="s">
        <v>482</v>
      </c>
      <c r="B57" s="1415">
        <v>9198.9612</v>
      </c>
      <c r="C57" s="1416"/>
      <c r="D57" s="1416"/>
      <c r="E57" s="1416"/>
      <c r="F57" s="1418">
        <v>0</v>
      </c>
      <c r="G57" s="1418">
        <v>0</v>
      </c>
      <c r="H57" s="1418">
        <v>0</v>
      </c>
      <c r="I57" s="1418">
        <v>0</v>
      </c>
      <c r="J57" s="1418">
        <v>0</v>
      </c>
      <c r="K57" s="1418">
        <v>0</v>
      </c>
      <c r="L57" s="1418">
        <v>0</v>
      </c>
      <c r="M57" s="1418">
        <v>0</v>
      </c>
      <c r="N57" s="1418">
        <v>0</v>
      </c>
      <c r="O57" s="1418">
        <v>0</v>
      </c>
      <c r="P57" s="1418">
        <v>0</v>
      </c>
      <c r="Q57" s="1418">
        <v>1379.84418</v>
      </c>
      <c r="R57" s="1418">
        <v>1379.84418</v>
      </c>
      <c r="S57" s="1418">
        <v>1379.84418</v>
      </c>
      <c r="T57" s="1418">
        <v>1379.84418</v>
      </c>
      <c r="U57" s="1418">
        <v>919.896119999999</v>
      </c>
      <c r="V57" s="1418">
        <v>919.89612</v>
      </c>
      <c r="W57" s="1418">
        <v>919.896119999999</v>
      </c>
      <c r="X57" s="1418">
        <v>459.948060000001</v>
      </c>
      <c r="Y57" s="1418">
        <v>459.948060000001</v>
      </c>
      <c r="Z57" s="1418">
        <v>0</v>
      </c>
      <c r="AA57" s="1418">
        <v>0</v>
      </c>
      <c r="AB57" s="1418">
        <v>0</v>
      </c>
      <c r="AC57" s="1418">
        <v>0</v>
      </c>
      <c r="AD57" s="1418">
        <v>0</v>
      </c>
      <c r="AE57" s="1418">
        <v>0</v>
      </c>
      <c r="AF57" s="1418">
        <v>0</v>
      </c>
      <c r="AG57" s="1418">
        <v>0</v>
      </c>
      <c r="AH57" s="1418">
        <v>0</v>
      </c>
      <c r="AI57" s="1418">
        <v>0</v>
      </c>
      <c r="AJ57" s="1418">
        <v>0</v>
      </c>
      <c r="AK57" s="1418">
        <v>0</v>
      </c>
      <c r="AL57" s="1418">
        <v>0</v>
      </c>
      <c r="AM57" s="1418">
        <v>0</v>
      </c>
      <c r="AN57" s="1418">
        <v>0</v>
      </c>
      <c r="AO57" s="1418">
        <v>0</v>
      </c>
      <c r="AP57" s="1418">
        <v>0</v>
      </c>
      <c r="AQ57" s="1418">
        <v>0</v>
      </c>
      <c r="AR57" s="1418">
        <v>0</v>
      </c>
    </row>
    <row r="58" s="1390" customFormat="1" ht="18" customHeight="1" outlineLevel="2" spans="1:44">
      <c r="A58" s="1417" t="s">
        <v>483</v>
      </c>
      <c r="B58" s="1415">
        <v>5188.0815255923</v>
      </c>
      <c r="C58" s="1416"/>
      <c r="D58" s="1416"/>
      <c r="E58" s="1416"/>
      <c r="F58" s="1418">
        <v>0</v>
      </c>
      <c r="G58" s="1418">
        <v>0</v>
      </c>
      <c r="H58" s="1418">
        <v>0</v>
      </c>
      <c r="I58" s="1418">
        <v>0</v>
      </c>
      <c r="J58" s="1418">
        <v>0</v>
      </c>
      <c r="K58" s="1418">
        <v>0</v>
      </c>
      <c r="L58" s="1418">
        <v>0</v>
      </c>
      <c r="M58" s="1418">
        <v>0</v>
      </c>
      <c r="N58" s="1418">
        <v>0</v>
      </c>
      <c r="O58" s="1418">
        <v>0</v>
      </c>
      <c r="P58" s="1418">
        <v>0</v>
      </c>
      <c r="Q58" s="1418">
        <v>778.212228838844</v>
      </c>
      <c r="R58" s="1418">
        <v>778.212228838844</v>
      </c>
      <c r="S58" s="1418">
        <v>778.212228838844</v>
      </c>
      <c r="T58" s="1418">
        <v>778.212228838845</v>
      </c>
      <c r="U58" s="1418">
        <v>518.808152559229</v>
      </c>
      <c r="V58" s="1418">
        <v>518.80815255923</v>
      </c>
      <c r="W58" s="1418">
        <v>518.80815255923</v>
      </c>
      <c r="X58" s="1418">
        <v>259.404076279615</v>
      </c>
      <c r="Y58" s="1418">
        <v>259.404076279615</v>
      </c>
      <c r="Z58" s="1418">
        <v>0</v>
      </c>
      <c r="AA58" s="1418">
        <v>0</v>
      </c>
      <c r="AB58" s="1418">
        <v>0</v>
      </c>
      <c r="AC58" s="1418">
        <v>0</v>
      </c>
      <c r="AD58" s="1418">
        <v>0</v>
      </c>
      <c r="AE58" s="1418">
        <v>0</v>
      </c>
      <c r="AF58" s="1418">
        <v>0</v>
      </c>
      <c r="AG58" s="1418">
        <v>0</v>
      </c>
      <c r="AH58" s="1418">
        <v>0</v>
      </c>
      <c r="AI58" s="1418">
        <v>0</v>
      </c>
      <c r="AJ58" s="1418">
        <v>0</v>
      </c>
      <c r="AK58" s="1418">
        <v>0</v>
      </c>
      <c r="AL58" s="1418">
        <v>0</v>
      </c>
      <c r="AM58" s="1418">
        <v>0</v>
      </c>
      <c r="AN58" s="1418">
        <v>0</v>
      </c>
      <c r="AO58" s="1418">
        <v>0</v>
      </c>
      <c r="AP58" s="1418">
        <v>0</v>
      </c>
      <c r="AQ58" s="1418">
        <v>0</v>
      </c>
      <c r="AR58" s="1418">
        <v>0</v>
      </c>
    </row>
    <row r="59" s="1390" customFormat="1" ht="18" customHeight="1" outlineLevel="2" spans="1:44">
      <c r="A59" s="1417" t="s">
        <v>484</v>
      </c>
      <c r="B59" s="1415">
        <v>1162.75264473858</v>
      </c>
      <c r="C59" s="1416"/>
      <c r="D59" s="1416"/>
      <c r="E59" s="1416"/>
      <c r="F59" s="1416">
        <v>0</v>
      </c>
      <c r="G59" s="1416">
        <v>0</v>
      </c>
      <c r="H59" s="1416">
        <v>0</v>
      </c>
      <c r="I59" s="1416">
        <v>0</v>
      </c>
      <c r="J59" s="1416">
        <v>0</v>
      </c>
      <c r="K59" s="1416">
        <v>0</v>
      </c>
      <c r="L59" s="1416">
        <v>0</v>
      </c>
      <c r="M59" s="1416">
        <v>0</v>
      </c>
      <c r="N59" s="1416">
        <v>0</v>
      </c>
      <c r="O59" s="1416">
        <v>0</v>
      </c>
      <c r="P59" s="1416">
        <v>0</v>
      </c>
      <c r="Q59" s="1416">
        <v>174.412896710787</v>
      </c>
      <c r="R59" s="1416">
        <v>174.412896710787</v>
      </c>
      <c r="S59" s="1416">
        <v>174.412896710787</v>
      </c>
      <c r="T59" s="1416">
        <v>174.412896710787</v>
      </c>
      <c r="U59" s="1416">
        <v>116.275264473858</v>
      </c>
      <c r="V59" s="1416">
        <v>116.275264473858</v>
      </c>
      <c r="W59" s="1416">
        <v>116.275264473858</v>
      </c>
      <c r="X59" s="1416">
        <v>58.1376322369292</v>
      </c>
      <c r="Y59" s="1416">
        <v>58.137632236929</v>
      </c>
      <c r="Z59" s="1416">
        <v>0</v>
      </c>
      <c r="AA59" s="1416">
        <v>0</v>
      </c>
      <c r="AB59" s="1416">
        <v>0</v>
      </c>
      <c r="AC59" s="1416">
        <v>0</v>
      </c>
      <c r="AD59" s="1416">
        <v>0</v>
      </c>
      <c r="AE59" s="1416">
        <v>0</v>
      </c>
      <c r="AF59" s="1416">
        <v>0</v>
      </c>
      <c r="AG59" s="1416">
        <v>0</v>
      </c>
      <c r="AH59" s="1416">
        <v>0</v>
      </c>
      <c r="AI59" s="1416">
        <v>0</v>
      </c>
      <c r="AJ59" s="1416">
        <v>0</v>
      </c>
      <c r="AK59" s="1416">
        <v>0</v>
      </c>
      <c r="AL59" s="1416">
        <v>0</v>
      </c>
      <c r="AM59" s="1416">
        <v>0</v>
      </c>
      <c r="AN59" s="1416">
        <v>0</v>
      </c>
      <c r="AO59" s="1416">
        <v>0</v>
      </c>
      <c r="AP59" s="1416">
        <v>0</v>
      </c>
      <c r="AQ59" s="1416">
        <v>0</v>
      </c>
      <c r="AR59" s="1416">
        <v>0</v>
      </c>
    </row>
    <row r="60" s="1390" customFormat="1" ht="18" customHeight="1" outlineLevel="2" spans="1:44">
      <c r="A60" s="1417" t="s">
        <v>485</v>
      </c>
      <c r="B60" s="1415">
        <v>2325.88045580467</v>
      </c>
      <c r="C60" s="1416"/>
      <c r="D60" s="1416"/>
      <c r="E60" s="1416"/>
      <c r="F60" s="1416">
        <v>0</v>
      </c>
      <c r="G60" s="1416">
        <v>0</v>
      </c>
      <c r="H60" s="1416">
        <v>0</v>
      </c>
      <c r="I60" s="1416">
        <v>0</v>
      </c>
      <c r="J60" s="1416">
        <v>0</v>
      </c>
      <c r="K60" s="1416">
        <v>0</v>
      </c>
      <c r="L60" s="1416">
        <v>0</v>
      </c>
      <c r="M60" s="1416">
        <v>0</v>
      </c>
      <c r="N60" s="1416">
        <v>232.588045580467</v>
      </c>
      <c r="O60" s="1416">
        <v>348.8820683707</v>
      </c>
      <c r="P60" s="1416">
        <v>348.8820683707</v>
      </c>
      <c r="Q60" s="1416">
        <v>232.588045580467</v>
      </c>
      <c r="R60" s="1416">
        <v>232.588045580467</v>
      </c>
      <c r="S60" s="1416">
        <v>232.588045580467</v>
      </c>
      <c r="T60" s="1416">
        <v>232.588045580467</v>
      </c>
      <c r="U60" s="1416">
        <v>232.588045580467</v>
      </c>
      <c r="V60" s="1416">
        <v>232.588045580467</v>
      </c>
      <c r="W60" s="1416">
        <v>0</v>
      </c>
      <c r="X60" s="1416">
        <v>0</v>
      </c>
      <c r="Y60" s="1416">
        <v>0</v>
      </c>
      <c r="Z60" s="1416">
        <v>0</v>
      </c>
      <c r="AA60" s="1416">
        <v>0</v>
      </c>
      <c r="AB60" s="1416">
        <v>0</v>
      </c>
      <c r="AC60" s="1416">
        <v>0</v>
      </c>
      <c r="AD60" s="1416">
        <v>0</v>
      </c>
      <c r="AE60" s="1416">
        <v>0</v>
      </c>
      <c r="AF60" s="1416">
        <v>0</v>
      </c>
      <c r="AG60" s="1416">
        <v>0</v>
      </c>
      <c r="AH60" s="1416">
        <v>0</v>
      </c>
      <c r="AI60" s="1416">
        <v>0</v>
      </c>
      <c r="AJ60" s="1416">
        <v>0</v>
      </c>
      <c r="AK60" s="1416">
        <v>0</v>
      </c>
      <c r="AL60" s="1416">
        <v>0</v>
      </c>
      <c r="AM60" s="1416">
        <v>0</v>
      </c>
      <c r="AN60" s="1416">
        <v>0</v>
      </c>
      <c r="AO60" s="1416">
        <v>0</v>
      </c>
      <c r="AP60" s="1416">
        <v>0</v>
      </c>
      <c r="AQ60" s="1416">
        <v>0</v>
      </c>
      <c r="AR60" s="1416">
        <v>0</v>
      </c>
    </row>
    <row r="61" s="1391" customFormat="1" ht="18" customHeight="1" outlineLevel="1" spans="1:44">
      <c r="A61" s="1415" t="s">
        <v>52</v>
      </c>
      <c r="B61" s="1415">
        <v>49896.3969232511</v>
      </c>
      <c r="C61" s="1415">
        <v>0</v>
      </c>
      <c r="D61" s="1415">
        <v>0</v>
      </c>
      <c r="E61" s="1415">
        <v>0</v>
      </c>
      <c r="F61" s="1415">
        <v>0</v>
      </c>
      <c r="G61" s="1415">
        <v>0</v>
      </c>
      <c r="H61" s="1415">
        <v>0</v>
      </c>
      <c r="I61" s="1415">
        <v>0</v>
      </c>
      <c r="J61" s="1415">
        <v>0</v>
      </c>
      <c r="K61" s="1415">
        <v>0</v>
      </c>
      <c r="L61" s="1415">
        <v>0</v>
      </c>
      <c r="M61" s="1415">
        <v>0</v>
      </c>
      <c r="N61" s="1415">
        <v>0</v>
      </c>
      <c r="O61" s="1415">
        <v>0</v>
      </c>
      <c r="P61" s="1415">
        <v>0</v>
      </c>
      <c r="Q61" s="1415">
        <v>0</v>
      </c>
      <c r="R61" s="1415">
        <v>4536.58880841208</v>
      </c>
      <c r="S61" s="1415">
        <v>5859.03359345059</v>
      </c>
      <c r="T61" s="1415">
        <v>5480.69374578358</v>
      </c>
      <c r="U61" s="1415">
        <v>6540.35460111615</v>
      </c>
      <c r="V61" s="1415">
        <v>5783.67490578214</v>
      </c>
      <c r="W61" s="1415">
        <v>5026.99521044812</v>
      </c>
      <c r="X61" s="1415">
        <v>5026.99521044812</v>
      </c>
      <c r="Y61" s="1415">
        <v>4232.95999699109</v>
      </c>
      <c r="Z61" s="1415">
        <v>3030.53660726814</v>
      </c>
      <c r="AA61" s="1415">
        <v>2790.49381663701</v>
      </c>
      <c r="AB61" s="1415">
        <v>794.03521345703</v>
      </c>
      <c r="AC61" s="1415">
        <v>794.035213457031</v>
      </c>
      <c r="AD61" s="1415">
        <v>0</v>
      </c>
      <c r="AE61" s="1415">
        <v>0</v>
      </c>
      <c r="AF61" s="1415">
        <v>0</v>
      </c>
      <c r="AG61" s="1415">
        <v>0</v>
      </c>
      <c r="AH61" s="1415">
        <v>0</v>
      </c>
      <c r="AI61" s="1415">
        <v>0</v>
      </c>
      <c r="AJ61" s="1415">
        <v>0</v>
      </c>
      <c r="AK61" s="1415">
        <v>0</v>
      </c>
      <c r="AL61" s="1415">
        <v>0</v>
      </c>
      <c r="AM61" s="1415">
        <v>0</v>
      </c>
      <c r="AN61" s="1415">
        <v>0</v>
      </c>
      <c r="AO61" s="1415">
        <v>0</v>
      </c>
      <c r="AP61" s="1415">
        <v>0</v>
      </c>
      <c r="AQ61" s="1415">
        <v>0</v>
      </c>
      <c r="AR61" s="1415">
        <v>0</v>
      </c>
    </row>
    <row r="62" s="1392" customFormat="1" ht="18" customHeight="1" outlineLevel="2" spans="1:44">
      <c r="A62" s="1416" t="s">
        <v>480</v>
      </c>
      <c r="B62" s="1415">
        <v>7566.79695334018</v>
      </c>
      <c r="C62" s="1416"/>
      <c r="D62" s="1416"/>
      <c r="E62" s="1416"/>
      <c r="F62" s="1418">
        <v>0</v>
      </c>
      <c r="G62" s="1418">
        <v>0</v>
      </c>
      <c r="H62" s="1418">
        <v>0</v>
      </c>
      <c r="I62" s="1418">
        <v>0</v>
      </c>
      <c r="J62" s="1418">
        <v>0</v>
      </c>
      <c r="K62" s="1418">
        <v>0</v>
      </c>
      <c r="L62" s="1418">
        <v>0</v>
      </c>
      <c r="M62" s="1418">
        <v>0</v>
      </c>
      <c r="N62" s="1418">
        <v>0</v>
      </c>
      <c r="O62" s="1418">
        <v>0</v>
      </c>
      <c r="P62" s="1418">
        <v>0</v>
      </c>
      <c r="Q62" s="1418">
        <v>0</v>
      </c>
      <c r="R62" s="1418">
        <v>1891.69923833505</v>
      </c>
      <c r="S62" s="1418">
        <v>1891.69923833505</v>
      </c>
      <c r="T62" s="1418">
        <v>1513.35939066804</v>
      </c>
      <c r="U62" s="1418">
        <v>1513.35939066804</v>
      </c>
      <c r="V62" s="1418">
        <v>756.679695334018</v>
      </c>
      <c r="W62" s="1418">
        <v>0</v>
      </c>
      <c r="X62" s="1418">
        <v>0</v>
      </c>
      <c r="Y62" s="1418">
        <v>0</v>
      </c>
      <c r="Z62" s="1418">
        <v>0</v>
      </c>
      <c r="AA62" s="1418">
        <v>0</v>
      </c>
      <c r="AB62" s="1418">
        <v>0</v>
      </c>
      <c r="AC62" s="1418">
        <v>0</v>
      </c>
      <c r="AD62" s="1418">
        <v>0</v>
      </c>
      <c r="AE62" s="1418">
        <v>0</v>
      </c>
      <c r="AF62" s="1418">
        <v>0</v>
      </c>
      <c r="AG62" s="1418">
        <v>0</v>
      </c>
      <c r="AH62" s="1418">
        <v>0</v>
      </c>
      <c r="AI62" s="1418">
        <v>0</v>
      </c>
      <c r="AJ62" s="1418">
        <v>0</v>
      </c>
      <c r="AK62" s="1418">
        <v>0</v>
      </c>
      <c r="AL62" s="1418">
        <v>0</v>
      </c>
      <c r="AM62" s="1418">
        <v>0</v>
      </c>
      <c r="AN62" s="1418">
        <v>0</v>
      </c>
      <c r="AO62" s="1418">
        <v>0</v>
      </c>
      <c r="AP62" s="1418">
        <v>0</v>
      </c>
      <c r="AQ62" s="1418">
        <v>0</v>
      </c>
      <c r="AR62" s="1418">
        <v>0</v>
      </c>
    </row>
    <row r="63" s="1390" customFormat="1" ht="18" customHeight="1" outlineLevel="2" spans="1:44">
      <c r="A63" s="1416" t="s">
        <v>481</v>
      </c>
      <c r="B63" s="1415">
        <v>24048.4677944591</v>
      </c>
      <c r="C63" s="1416"/>
      <c r="D63" s="1416"/>
      <c r="E63" s="1416"/>
      <c r="F63" s="1418">
        <v>0</v>
      </c>
      <c r="G63" s="1418">
        <v>0</v>
      </c>
      <c r="H63" s="1418">
        <v>0</v>
      </c>
      <c r="I63" s="1418">
        <v>0</v>
      </c>
      <c r="J63" s="1418">
        <v>0</v>
      </c>
      <c r="K63" s="1418">
        <v>0</v>
      </c>
      <c r="L63" s="1418">
        <v>0</v>
      </c>
      <c r="M63" s="1418">
        <v>0</v>
      </c>
      <c r="N63" s="1418">
        <v>0</v>
      </c>
      <c r="O63" s="1418">
        <v>0</v>
      </c>
      <c r="P63" s="1418">
        <v>0</v>
      </c>
      <c r="Q63" s="1418">
        <v>0</v>
      </c>
      <c r="R63" s="1418">
        <v>2404.84677944591</v>
      </c>
      <c r="S63" s="1418">
        <v>3607.27016916886</v>
      </c>
      <c r="T63" s="1418">
        <v>3607.27016916886</v>
      </c>
      <c r="U63" s="1418">
        <v>2404.84677944591</v>
      </c>
      <c r="V63" s="1418">
        <v>2404.84677944591</v>
      </c>
      <c r="W63" s="1418">
        <v>2404.8467794459</v>
      </c>
      <c r="X63" s="1418">
        <v>2404.84677944591</v>
      </c>
      <c r="Y63" s="1418">
        <v>2404.84677944591</v>
      </c>
      <c r="Z63" s="1418">
        <v>1202.42338972295</v>
      </c>
      <c r="AA63" s="1418">
        <v>1202.42338972295</v>
      </c>
      <c r="AB63" s="1418">
        <v>0</v>
      </c>
      <c r="AC63" s="1418">
        <v>0</v>
      </c>
      <c r="AD63" s="1418">
        <v>0</v>
      </c>
      <c r="AE63" s="1418">
        <v>0</v>
      </c>
      <c r="AF63" s="1418">
        <v>0</v>
      </c>
      <c r="AG63" s="1418">
        <v>0</v>
      </c>
      <c r="AH63" s="1418">
        <v>0</v>
      </c>
      <c r="AI63" s="1418">
        <v>0</v>
      </c>
      <c r="AJ63" s="1418">
        <v>0</v>
      </c>
      <c r="AK63" s="1418">
        <v>0</v>
      </c>
      <c r="AL63" s="1418">
        <v>0</v>
      </c>
      <c r="AM63" s="1418">
        <v>0</v>
      </c>
      <c r="AN63" s="1418">
        <v>0</v>
      </c>
      <c r="AO63" s="1418">
        <v>0</v>
      </c>
      <c r="AP63" s="1418">
        <v>0</v>
      </c>
      <c r="AQ63" s="1418">
        <v>0</v>
      </c>
      <c r="AR63" s="1418">
        <v>0</v>
      </c>
    </row>
    <row r="64" s="1390" customFormat="1" ht="18" customHeight="1" outlineLevel="2" spans="1:44">
      <c r="A64" s="1416" t="s">
        <v>482</v>
      </c>
      <c r="B64" s="1415">
        <v>9198.9612</v>
      </c>
      <c r="C64" s="1416"/>
      <c r="D64" s="1416"/>
      <c r="E64" s="1416"/>
      <c r="F64" s="1418">
        <v>0</v>
      </c>
      <c r="G64" s="1418">
        <v>0</v>
      </c>
      <c r="H64" s="1418">
        <v>0</v>
      </c>
      <c r="I64" s="1418">
        <v>0</v>
      </c>
      <c r="J64" s="1418">
        <v>0</v>
      </c>
      <c r="K64" s="1418">
        <v>0</v>
      </c>
      <c r="L64" s="1418">
        <v>0</v>
      </c>
      <c r="M64" s="1418">
        <v>0</v>
      </c>
      <c r="N64" s="1418">
        <v>0</v>
      </c>
      <c r="O64" s="1418">
        <v>0</v>
      </c>
      <c r="P64" s="1418">
        <v>0</v>
      </c>
      <c r="Q64" s="1418">
        <v>0</v>
      </c>
      <c r="R64" s="1418">
        <v>0</v>
      </c>
      <c r="S64" s="1418">
        <v>0</v>
      </c>
      <c r="T64" s="1418">
        <v>0</v>
      </c>
      <c r="U64" s="1418">
        <v>1379.84418</v>
      </c>
      <c r="V64" s="1418">
        <v>1379.84418</v>
      </c>
      <c r="W64" s="1418">
        <v>1379.84418</v>
      </c>
      <c r="X64" s="1418">
        <v>1379.84418</v>
      </c>
      <c r="Y64" s="1418">
        <v>919.896119999999</v>
      </c>
      <c r="Z64" s="1418">
        <v>919.89612</v>
      </c>
      <c r="AA64" s="1418">
        <v>919.896119999999</v>
      </c>
      <c r="AB64" s="1418">
        <v>459.948060000001</v>
      </c>
      <c r="AC64" s="1418">
        <v>459.948060000001</v>
      </c>
      <c r="AD64" s="1418">
        <v>0</v>
      </c>
      <c r="AE64" s="1418">
        <v>0</v>
      </c>
      <c r="AF64" s="1418">
        <v>0</v>
      </c>
      <c r="AG64" s="1418">
        <v>0</v>
      </c>
      <c r="AH64" s="1418">
        <v>0</v>
      </c>
      <c r="AI64" s="1418">
        <v>0</v>
      </c>
      <c r="AJ64" s="1418">
        <v>0</v>
      </c>
      <c r="AK64" s="1418">
        <v>0</v>
      </c>
      <c r="AL64" s="1418">
        <v>0</v>
      </c>
      <c r="AM64" s="1418">
        <v>0</v>
      </c>
      <c r="AN64" s="1418">
        <v>0</v>
      </c>
      <c r="AO64" s="1418">
        <v>0</v>
      </c>
      <c r="AP64" s="1418">
        <v>0</v>
      </c>
      <c r="AQ64" s="1418">
        <v>0</v>
      </c>
      <c r="AR64" s="1418">
        <v>0</v>
      </c>
    </row>
    <row r="65" s="1390" customFormat="1" ht="18" customHeight="1" outlineLevel="2" spans="1:44">
      <c r="A65" s="1416" t="s">
        <v>483</v>
      </c>
      <c r="B65" s="1415">
        <v>5393.6658932846</v>
      </c>
      <c r="C65" s="1416"/>
      <c r="D65" s="1416"/>
      <c r="E65" s="1416"/>
      <c r="F65" s="1418">
        <v>0</v>
      </c>
      <c r="G65" s="1418">
        <v>0</v>
      </c>
      <c r="H65" s="1418">
        <v>0</v>
      </c>
      <c r="I65" s="1418">
        <v>0</v>
      </c>
      <c r="J65" s="1418">
        <v>0</v>
      </c>
      <c r="K65" s="1418">
        <v>0</v>
      </c>
      <c r="L65" s="1418">
        <v>0</v>
      </c>
      <c r="M65" s="1418">
        <v>0</v>
      </c>
      <c r="N65" s="1418">
        <v>0</v>
      </c>
      <c r="O65" s="1418">
        <v>0</v>
      </c>
      <c r="P65" s="1418">
        <v>0</v>
      </c>
      <c r="Q65" s="1418">
        <v>0</v>
      </c>
      <c r="R65" s="1418">
        <v>0</v>
      </c>
      <c r="S65" s="1418">
        <v>0</v>
      </c>
      <c r="T65" s="1418">
        <v>0</v>
      </c>
      <c r="U65" s="1418">
        <v>809.04988399269</v>
      </c>
      <c r="V65" s="1418">
        <v>809.04988399269</v>
      </c>
      <c r="W65" s="1418">
        <v>809.04988399269</v>
      </c>
      <c r="X65" s="1418">
        <v>809.04988399269</v>
      </c>
      <c r="Y65" s="1418">
        <v>539.36658932846</v>
      </c>
      <c r="Z65" s="1418">
        <v>539.36658932846</v>
      </c>
      <c r="AA65" s="1418">
        <v>539.366589328461</v>
      </c>
      <c r="AB65" s="1418">
        <v>269.68329466423</v>
      </c>
      <c r="AC65" s="1418">
        <v>269.683294664231</v>
      </c>
      <c r="AD65" s="1418">
        <v>0</v>
      </c>
      <c r="AE65" s="1418">
        <v>0</v>
      </c>
      <c r="AF65" s="1418">
        <v>0</v>
      </c>
      <c r="AG65" s="1418">
        <v>0</v>
      </c>
      <c r="AH65" s="1418">
        <v>0</v>
      </c>
      <c r="AI65" s="1418">
        <v>0</v>
      </c>
      <c r="AJ65" s="1418">
        <v>0</v>
      </c>
      <c r="AK65" s="1418">
        <v>0</v>
      </c>
      <c r="AL65" s="1418">
        <v>0</v>
      </c>
      <c r="AM65" s="1418">
        <v>0</v>
      </c>
      <c r="AN65" s="1418">
        <v>0</v>
      </c>
      <c r="AO65" s="1418">
        <v>0</v>
      </c>
      <c r="AP65" s="1418">
        <v>0</v>
      </c>
      <c r="AQ65" s="1418">
        <v>0</v>
      </c>
      <c r="AR65" s="1418">
        <v>0</v>
      </c>
    </row>
    <row r="66" s="1390" customFormat="1" ht="18" customHeight="1" outlineLevel="2" spans="1:44">
      <c r="A66" s="1416" t="s">
        <v>484</v>
      </c>
      <c r="B66" s="1415">
        <v>1288.07717585599</v>
      </c>
      <c r="C66" s="1416"/>
      <c r="D66" s="1416"/>
      <c r="E66" s="1416"/>
      <c r="F66" s="1416">
        <v>0</v>
      </c>
      <c r="G66" s="1416">
        <v>0</v>
      </c>
      <c r="H66" s="1416">
        <v>0</v>
      </c>
      <c r="I66" s="1416">
        <v>0</v>
      </c>
      <c r="J66" s="1416">
        <v>0</v>
      </c>
      <c r="K66" s="1416">
        <v>0</v>
      </c>
      <c r="L66" s="1416">
        <v>0</v>
      </c>
      <c r="M66" s="1416">
        <v>0</v>
      </c>
      <c r="N66" s="1416">
        <v>0</v>
      </c>
      <c r="O66" s="1416">
        <v>0</v>
      </c>
      <c r="P66" s="1416">
        <v>0</v>
      </c>
      <c r="Q66" s="1416">
        <v>0</v>
      </c>
      <c r="R66" s="1416">
        <v>0</v>
      </c>
      <c r="S66" s="1416">
        <v>0</v>
      </c>
      <c r="T66" s="1416">
        <v>0</v>
      </c>
      <c r="U66" s="1416">
        <v>193.211576378398</v>
      </c>
      <c r="V66" s="1416">
        <v>193.211576378398</v>
      </c>
      <c r="W66" s="1416">
        <v>193.211576378398</v>
      </c>
      <c r="X66" s="1416">
        <v>193.211576378398</v>
      </c>
      <c r="Y66" s="1416">
        <v>128.807717585599</v>
      </c>
      <c r="Z66" s="1416">
        <v>128.807717585599</v>
      </c>
      <c r="AA66" s="1416">
        <v>128.807717585599</v>
      </c>
      <c r="AB66" s="1416">
        <v>64.4038587927994</v>
      </c>
      <c r="AC66" s="1416">
        <v>64.4038587927996</v>
      </c>
      <c r="AD66" s="1416">
        <v>0</v>
      </c>
      <c r="AE66" s="1416">
        <v>0</v>
      </c>
      <c r="AF66" s="1416">
        <v>0</v>
      </c>
      <c r="AG66" s="1416">
        <v>0</v>
      </c>
      <c r="AH66" s="1416">
        <v>0</v>
      </c>
      <c r="AI66" s="1416">
        <v>0</v>
      </c>
      <c r="AJ66" s="1416">
        <v>0</v>
      </c>
      <c r="AK66" s="1416">
        <v>0</v>
      </c>
      <c r="AL66" s="1416">
        <v>0</v>
      </c>
      <c r="AM66" s="1416">
        <v>0</v>
      </c>
      <c r="AN66" s="1416">
        <v>0</v>
      </c>
      <c r="AO66" s="1416">
        <v>0</v>
      </c>
      <c r="AP66" s="1416">
        <v>0</v>
      </c>
      <c r="AQ66" s="1416">
        <v>0</v>
      </c>
      <c r="AR66" s="1416">
        <v>0</v>
      </c>
    </row>
    <row r="67" s="1390" customFormat="1" ht="18" customHeight="1" outlineLevel="2" spans="1:44">
      <c r="A67" s="1416" t="s">
        <v>485</v>
      </c>
      <c r="B67" s="1415">
        <v>2400.42790631123</v>
      </c>
      <c r="C67" s="1416"/>
      <c r="D67" s="1416"/>
      <c r="E67" s="1416"/>
      <c r="F67" s="1416">
        <v>0</v>
      </c>
      <c r="G67" s="1416">
        <v>0</v>
      </c>
      <c r="H67" s="1416">
        <v>0</v>
      </c>
      <c r="I67" s="1416">
        <v>0</v>
      </c>
      <c r="J67" s="1416">
        <v>0</v>
      </c>
      <c r="K67" s="1416">
        <v>0</v>
      </c>
      <c r="L67" s="1416">
        <v>0</v>
      </c>
      <c r="M67" s="1416">
        <v>0</v>
      </c>
      <c r="N67" s="1416">
        <v>0</v>
      </c>
      <c r="O67" s="1416">
        <v>0</v>
      </c>
      <c r="P67" s="1416">
        <v>0</v>
      </c>
      <c r="Q67" s="1416">
        <v>0</v>
      </c>
      <c r="R67" s="1416">
        <v>240.042790631123</v>
      </c>
      <c r="S67" s="1416">
        <v>360.064185946684</v>
      </c>
      <c r="T67" s="1416">
        <v>360.064185946684</v>
      </c>
      <c r="U67" s="1416">
        <v>240.042790631123</v>
      </c>
      <c r="V67" s="1416">
        <v>240.042790631123</v>
      </c>
      <c r="W67" s="1416">
        <v>240.042790631123</v>
      </c>
      <c r="X67" s="1416">
        <v>240.042790631123</v>
      </c>
      <c r="Y67" s="1416">
        <v>240.042790631123</v>
      </c>
      <c r="Z67" s="1416">
        <v>240.042790631123</v>
      </c>
      <c r="AA67" s="1416">
        <v>0</v>
      </c>
      <c r="AB67" s="1416">
        <v>0</v>
      </c>
      <c r="AC67" s="1416">
        <v>0</v>
      </c>
      <c r="AD67" s="1416">
        <v>0</v>
      </c>
      <c r="AE67" s="1416">
        <v>0</v>
      </c>
      <c r="AF67" s="1416">
        <v>0</v>
      </c>
      <c r="AG67" s="1416">
        <v>0</v>
      </c>
      <c r="AH67" s="1416">
        <v>0</v>
      </c>
      <c r="AI67" s="1416">
        <v>0</v>
      </c>
      <c r="AJ67" s="1416">
        <v>0</v>
      </c>
      <c r="AK67" s="1416">
        <v>0</v>
      </c>
      <c r="AL67" s="1416">
        <v>0</v>
      </c>
      <c r="AM67" s="1416">
        <v>0</v>
      </c>
      <c r="AN67" s="1416">
        <v>0</v>
      </c>
      <c r="AO67" s="1416">
        <v>0</v>
      </c>
      <c r="AP67" s="1416">
        <v>0</v>
      </c>
      <c r="AQ67" s="1416">
        <v>0</v>
      </c>
      <c r="AR67" s="1416">
        <v>0</v>
      </c>
    </row>
    <row r="68" s="1391" customFormat="1" ht="18" customHeight="1" outlineLevel="1" spans="1:44">
      <c r="A68" s="1415" t="s">
        <v>53</v>
      </c>
      <c r="B68" s="1415">
        <v>7601.97945789187</v>
      </c>
      <c r="C68" s="1415">
        <v>0</v>
      </c>
      <c r="D68" s="1415">
        <v>0</v>
      </c>
      <c r="E68" s="1415">
        <v>0</v>
      </c>
      <c r="F68" s="1415">
        <v>0</v>
      </c>
      <c r="G68" s="1415">
        <v>0</v>
      </c>
      <c r="H68" s="1415">
        <v>0</v>
      </c>
      <c r="I68" s="1415">
        <v>0</v>
      </c>
      <c r="J68" s="1415">
        <v>0</v>
      </c>
      <c r="K68" s="1415">
        <v>0</v>
      </c>
      <c r="L68" s="1415">
        <v>0</v>
      </c>
      <c r="M68" s="1415">
        <v>0</v>
      </c>
      <c r="N68" s="1415">
        <v>360.354601983016</v>
      </c>
      <c r="O68" s="1415">
        <v>601.002295211706</v>
      </c>
      <c r="P68" s="1415">
        <v>773.602526795053</v>
      </c>
      <c r="Q68" s="1415">
        <v>1175.56835125641</v>
      </c>
      <c r="R68" s="1415">
        <v>1175.56835125641</v>
      </c>
      <c r="S68" s="1415">
        <v>847.989778346107</v>
      </c>
      <c r="T68" s="1415">
        <v>796.330331237123</v>
      </c>
      <c r="U68" s="1415">
        <v>656.879051571219</v>
      </c>
      <c r="V68" s="1415">
        <v>484.278819987873</v>
      </c>
      <c r="W68" s="1415">
        <v>451.502790915154</v>
      </c>
      <c r="X68" s="1415">
        <v>139.451279665904</v>
      </c>
      <c r="Y68" s="1415">
        <v>139.451279665904</v>
      </c>
      <c r="Z68" s="1415">
        <v>0</v>
      </c>
      <c r="AA68" s="1415">
        <v>0</v>
      </c>
      <c r="AB68" s="1415">
        <v>0</v>
      </c>
      <c r="AC68" s="1415">
        <v>0</v>
      </c>
      <c r="AD68" s="1415">
        <v>0</v>
      </c>
      <c r="AE68" s="1415">
        <v>0</v>
      </c>
      <c r="AF68" s="1415">
        <v>0</v>
      </c>
      <c r="AG68" s="1415">
        <v>0</v>
      </c>
      <c r="AH68" s="1415">
        <v>0</v>
      </c>
      <c r="AI68" s="1415">
        <v>0</v>
      </c>
      <c r="AJ68" s="1415">
        <v>0</v>
      </c>
      <c r="AK68" s="1415">
        <v>0</v>
      </c>
      <c r="AL68" s="1415">
        <v>0</v>
      </c>
      <c r="AM68" s="1415">
        <v>0</v>
      </c>
      <c r="AN68" s="1415">
        <v>0</v>
      </c>
      <c r="AO68" s="1415">
        <v>0</v>
      </c>
      <c r="AP68" s="1415">
        <v>0</v>
      </c>
      <c r="AQ68" s="1415">
        <v>0</v>
      </c>
      <c r="AR68" s="1415">
        <v>0</v>
      </c>
    </row>
    <row r="69" s="1390" customFormat="1" ht="18" customHeight="1" outlineLevel="2" spans="1:44">
      <c r="A69" s="1417" t="s">
        <v>480</v>
      </c>
      <c r="B69" s="1415">
        <v>1033.18894217968</v>
      </c>
      <c r="C69" s="1416"/>
      <c r="D69" s="1416"/>
      <c r="E69" s="1416"/>
      <c r="F69" s="1416">
        <v>0</v>
      </c>
      <c r="G69" s="1416">
        <v>0</v>
      </c>
      <c r="H69" s="1416">
        <v>0</v>
      </c>
      <c r="I69" s="1416">
        <v>0</v>
      </c>
      <c r="J69" s="1416">
        <v>0</v>
      </c>
      <c r="K69" s="1416">
        <v>0</v>
      </c>
      <c r="L69" s="1416">
        <v>0</v>
      </c>
      <c r="M69" s="1416">
        <v>0</v>
      </c>
      <c r="N69" s="1416">
        <v>154.978341326952</v>
      </c>
      <c r="O69" s="1416">
        <v>206.637788435936</v>
      </c>
      <c r="P69" s="1416">
        <v>206.637788435936</v>
      </c>
      <c r="Q69" s="1416">
        <v>206.637788435936</v>
      </c>
      <c r="R69" s="1416">
        <v>206.637788435936</v>
      </c>
      <c r="S69" s="1416">
        <v>51.6594471089841</v>
      </c>
      <c r="T69" s="1416">
        <v>0</v>
      </c>
      <c r="U69" s="1416">
        <v>0</v>
      </c>
      <c r="V69" s="1416">
        <v>0</v>
      </c>
      <c r="W69" s="1416">
        <v>0</v>
      </c>
      <c r="X69" s="1416">
        <v>0</v>
      </c>
      <c r="Y69" s="1416">
        <v>0</v>
      </c>
      <c r="Z69" s="1416">
        <v>0</v>
      </c>
      <c r="AA69" s="1416">
        <v>0</v>
      </c>
      <c r="AB69" s="1416">
        <v>0</v>
      </c>
      <c r="AC69" s="1416">
        <v>0</v>
      </c>
      <c r="AD69" s="1416">
        <v>0</v>
      </c>
      <c r="AE69" s="1416">
        <v>0</v>
      </c>
      <c r="AF69" s="1416">
        <v>0</v>
      </c>
      <c r="AG69" s="1416">
        <v>0</v>
      </c>
      <c r="AH69" s="1416">
        <v>0</v>
      </c>
      <c r="AI69" s="1416">
        <v>0</v>
      </c>
      <c r="AJ69" s="1416">
        <v>0</v>
      </c>
      <c r="AK69" s="1416">
        <v>0</v>
      </c>
      <c r="AL69" s="1416">
        <v>0</v>
      </c>
      <c r="AM69" s="1416">
        <v>0</v>
      </c>
      <c r="AN69" s="1416">
        <v>0</v>
      </c>
      <c r="AO69" s="1416">
        <v>0</v>
      </c>
      <c r="AP69" s="1416">
        <v>0</v>
      </c>
      <c r="AQ69" s="1416">
        <v>0</v>
      </c>
      <c r="AR69" s="1416">
        <v>0</v>
      </c>
    </row>
    <row r="70" s="1390" customFormat="1" ht="18" customHeight="1" outlineLevel="2" spans="1:44">
      <c r="A70" s="1417" t="s">
        <v>481</v>
      </c>
      <c r="B70" s="1415">
        <v>3452.00463166694</v>
      </c>
      <c r="C70" s="1416"/>
      <c r="D70" s="1416"/>
      <c r="E70" s="1416"/>
      <c r="F70" s="1416">
        <v>0</v>
      </c>
      <c r="G70" s="1416">
        <v>0</v>
      </c>
      <c r="H70" s="1416">
        <v>0</v>
      </c>
      <c r="I70" s="1416">
        <v>0</v>
      </c>
      <c r="J70" s="1416">
        <v>0</v>
      </c>
      <c r="K70" s="1416">
        <v>0</v>
      </c>
      <c r="L70" s="1416">
        <v>0</v>
      </c>
      <c r="M70" s="1416">
        <v>0</v>
      </c>
      <c r="N70" s="1416">
        <v>172.600231583347</v>
      </c>
      <c r="O70" s="1416">
        <v>345.200463166694</v>
      </c>
      <c r="P70" s="1416">
        <v>517.800694750041</v>
      </c>
      <c r="Q70" s="1416">
        <v>517.800694750041</v>
      </c>
      <c r="R70" s="1416">
        <v>517.800694750041</v>
      </c>
      <c r="S70" s="1416">
        <v>345.200463166694</v>
      </c>
      <c r="T70" s="1416">
        <v>345.200463166694</v>
      </c>
      <c r="U70" s="1416">
        <v>345.200463166694</v>
      </c>
      <c r="V70" s="1416">
        <v>172.600231583347</v>
      </c>
      <c r="W70" s="1416">
        <v>172.600231583347</v>
      </c>
      <c r="X70" s="1416">
        <v>0</v>
      </c>
      <c r="Y70" s="1416">
        <v>0</v>
      </c>
      <c r="Z70" s="1416">
        <v>0</v>
      </c>
      <c r="AA70" s="1416">
        <v>0</v>
      </c>
      <c r="AB70" s="1416">
        <v>0</v>
      </c>
      <c r="AC70" s="1416">
        <v>0</v>
      </c>
      <c r="AD70" s="1416">
        <v>0</v>
      </c>
      <c r="AE70" s="1416">
        <v>0</v>
      </c>
      <c r="AF70" s="1416">
        <v>0</v>
      </c>
      <c r="AG70" s="1416">
        <v>0</v>
      </c>
      <c r="AH70" s="1416">
        <v>0</v>
      </c>
      <c r="AI70" s="1416">
        <v>0</v>
      </c>
      <c r="AJ70" s="1416">
        <v>0</v>
      </c>
      <c r="AK70" s="1416">
        <v>0</v>
      </c>
      <c r="AL70" s="1416">
        <v>0</v>
      </c>
      <c r="AM70" s="1416">
        <v>0</v>
      </c>
      <c r="AN70" s="1416">
        <v>0</v>
      </c>
      <c r="AO70" s="1416">
        <v>0</v>
      </c>
      <c r="AP70" s="1416">
        <v>0</v>
      </c>
      <c r="AQ70" s="1416">
        <v>0</v>
      </c>
      <c r="AR70" s="1416">
        <v>0</v>
      </c>
    </row>
    <row r="71" s="1390" customFormat="1" ht="18" customHeight="1" outlineLevel="2" spans="1:44">
      <c r="A71" s="1417" t="s">
        <v>482</v>
      </c>
      <c r="B71" s="1415">
        <v>772.387387387387</v>
      </c>
      <c r="C71" s="1416"/>
      <c r="D71" s="1416"/>
      <c r="E71" s="1416"/>
      <c r="F71" s="1416">
        <v>0</v>
      </c>
      <c r="G71" s="1416">
        <v>0</v>
      </c>
      <c r="H71" s="1416">
        <v>0</v>
      </c>
      <c r="I71" s="1416">
        <v>0</v>
      </c>
      <c r="J71" s="1416">
        <v>0</v>
      </c>
      <c r="K71" s="1416">
        <v>0</v>
      </c>
      <c r="L71" s="1416">
        <v>0</v>
      </c>
      <c r="M71" s="1416">
        <v>0</v>
      </c>
      <c r="N71" s="1416">
        <v>0</v>
      </c>
      <c r="O71" s="1416">
        <v>0</v>
      </c>
      <c r="P71" s="1416">
        <v>0</v>
      </c>
      <c r="Q71" s="1416">
        <v>115.858108108108</v>
      </c>
      <c r="R71" s="1416">
        <v>115.858108108108</v>
      </c>
      <c r="S71" s="1416">
        <v>115.858108108108</v>
      </c>
      <c r="T71" s="1416">
        <v>115.858108108108</v>
      </c>
      <c r="U71" s="1416">
        <v>77.2387387387387</v>
      </c>
      <c r="V71" s="1416">
        <v>77.2387387387388</v>
      </c>
      <c r="W71" s="1416">
        <v>77.2387387387387</v>
      </c>
      <c r="X71" s="1416">
        <v>38.6193693693693</v>
      </c>
      <c r="Y71" s="1416">
        <v>38.6193693693695</v>
      </c>
      <c r="Z71" s="1416">
        <v>0</v>
      </c>
      <c r="AA71" s="1416">
        <v>0</v>
      </c>
      <c r="AB71" s="1416">
        <v>0</v>
      </c>
      <c r="AC71" s="1416">
        <v>0</v>
      </c>
      <c r="AD71" s="1416">
        <v>0</v>
      </c>
      <c r="AE71" s="1416">
        <v>0</v>
      </c>
      <c r="AF71" s="1416">
        <v>0</v>
      </c>
      <c r="AG71" s="1416">
        <v>0</v>
      </c>
      <c r="AH71" s="1416">
        <v>0</v>
      </c>
      <c r="AI71" s="1416">
        <v>0</v>
      </c>
      <c r="AJ71" s="1416">
        <v>0</v>
      </c>
      <c r="AK71" s="1416">
        <v>0</v>
      </c>
      <c r="AL71" s="1416">
        <v>0</v>
      </c>
      <c r="AM71" s="1416">
        <v>0</v>
      </c>
      <c r="AN71" s="1416">
        <v>0</v>
      </c>
      <c r="AO71" s="1416">
        <v>0</v>
      </c>
      <c r="AP71" s="1416">
        <v>0</v>
      </c>
      <c r="AQ71" s="1416">
        <v>0</v>
      </c>
      <c r="AR71" s="1416">
        <v>0</v>
      </c>
    </row>
    <row r="72" s="1390" customFormat="1" ht="18" customHeight="1" outlineLevel="2" spans="1:44">
      <c r="A72" s="1417" t="s">
        <v>483</v>
      </c>
      <c r="B72" s="1415">
        <v>1741.13311169092</v>
      </c>
      <c r="C72" s="1416"/>
      <c r="D72" s="1416"/>
      <c r="E72" s="1416"/>
      <c r="F72" s="1416">
        <v>0</v>
      </c>
      <c r="G72" s="1416">
        <v>0</v>
      </c>
      <c r="H72" s="1416">
        <v>0</v>
      </c>
      <c r="I72" s="1416">
        <v>0</v>
      </c>
      <c r="J72" s="1416">
        <v>0</v>
      </c>
      <c r="K72" s="1416">
        <v>0</v>
      </c>
      <c r="L72" s="1416">
        <v>0</v>
      </c>
      <c r="M72" s="1416">
        <v>0</v>
      </c>
      <c r="N72" s="1416">
        <v>0</v>
      </c>
      <c r="O72" s="1416">
        <v>0</v>
      </c>
      <c r="P72" s="1416">
        <v>0</v>
      </c>
      <c r="Q72" s="1416">
        <v>261.169966753638</v>
      </c>
      <c r="R72" s="1416">
        <v>261.169966753638</v>
      </c>
      <c r="S72" s="1416">
        <v>261.169966753638</v>
      </c>
      <c r="T72" s="1416">
        <v>261.169966753638</v>
      </c>
      <c r="U72" s="1416">
        <v>174.113311169092</v>
      </c>
      <c r="V72" s="1416">
        <v>174.113311169092</v>
      </c>
      <c r="W72" s="1416">
        <v>174.113311169092</v>
      </c>
      <c r="X72" s="1416">
        <v>87.0566555845462</v>
      </c>
      <c r="Y72" s="1416">
        <v>87.0566555845462</v>
      </c>
      <c r="Z72" s="1416">
        <v>0</v>
      </c>
      <c r="AA72" s="1416">
        <v>0</v>
      </c>
      <c r="AB72" s="1416">
        <v>0</v>
      </c>
      <c r="AC72" s="1416">
        <v>0</v>
      </c>
      <c r="AD72" s="1416">
        <v>0</v>
      </c>
      <c r="AE72" s="1416">
        <v>0</v>
      </c>
      <c r="AF72" s="1416">
        <v>0</v>
      </c>
      <c r="AG72" s="1416">
        <v>0</v>
      </c>
      <c r="AH72" s="1416">
        <v>0</v>
      </c>
      <c r="AI72" s="1416">
        <v>0</v>
      </c>
      <c r="AJ72" s="1416">
        <v>0</v>
      </c>
      <c r="AK72" s="1416">
        <v>0</v>
      </c>
      <c r="AL72" s="1416">
        <v>0</v>
      </c>
      <c r="AM72" s="1416">
        <v>0</v>
      </c>
      <c r="AN72" s="1416">
        <v>0</v>
      </c>
      <c r="AO72" s="1416">
        <v>0</v>
      </c>
      <c r="AP72" s="1416">
        <v>0</v>
      </c>
      <c r="AQ72" s="1416">
        <v>0</v>
      </c>
      <c r="AR72" s="1416">
        <v>0</v>
      </c>
    </row>
    <row r="73" s="1390" customFormat="1" ht="18" customHeight="1" outlineLevel="2" spans="1:44">
      <c r="A73" s="1417" t="s">
        <v>484</v>
      </c>
      <c r="B73" s="1415">
        <v>275.505094239771</v>
      </c>
      <c r="C73" s="1416"/>
      <c r="D73" s="1416"/>
      <c r="E73" s="1416"/>
      <c r="F73" s="1416">
        <v>0</v>
      </c>
      <c r="G73" s="1416">
        <v>0</v>
      </c>
      <c r="H73" s="1416">
        <v>0</v>
      </c>
      <c r="I73" s="1416">
        <v>0</v>
      </c>
      <c r="J73" s="1416">
        <v>0</v>
      </c>
      <c r="K73" s="1416">
        <v>0</v>
      </c>
      <c r="L73" s="1416">
        <v>0</v>
      </c>
      <c r="M73" s="1416">
        <v>0</v>
      </c>
      <c r="N73" s="1416">
        <v>0</v>
      </c>
      <c r="O73" s="1416">
        <v>0</v>
      </c>
      <c r="P73" s="1416">
        <v>0</v>
      </c>
      <c r="Q73" s="1416">
        <v>41.3257641359656</v>
      </c>
      <c r="R73" s="1416">
        <v>41.3257641359656</v>
      </c>
      <c r="S73" s="1416">
        <v>41.3257641359656</v>
      </c>
      <c r="T73" s="1416">
        <v>41.3257641359657</v>
      </c>
      <c r="U73" s="1416">
        <v>27.5505094239771</v>
      </c>
      <c r="V73" s="1416">
        <v>27.5505094239771</v>
      </c>
      <c r="W73" s="1416">
        <v>27.5505094239771</v>
      </c>
      <c r="X73" s="1416">
        <v>13.7752547119886</v>
      </c>
      <c r="Y73" s="1416">
        <v>13.7752547119886</v>
      </c>
      <c r="Z73" s="1416">
        <v>0</v>
      </c>
      <c r="AA73" s="1416">
        <v>0</v>
      </c>
      <c r="AB73" s="1416">
        <v>0</v>
      </c>
      <c r="AC73" s="1416">
        <v>0</v>
      </c>
      <c r="AD73" s="1416">
        <v>0</v>
      </c>
      <c r="AE73" s="1416">
        <v>0</v>
      </c>
      <c r="AF73" s="1416">
        <v>0</v>
      </c>
      <c r="AG73" s="1416">
        <v>0</v>
      </c>
      <c r="AH73" s="1416">
        <v>0</v>
      </c>
      <c r="AI73" s="1416">
        <v>0</v>
      </c>
      <c r="AJ73" s="1416">
        <v>0</v>
      </c>
      <c r="AK73" s="1416">
        <v>0</v>
      </c>
      <c r="AL73" s="1416">
        <v>0</v>
      </c>
      <c r="AM73" s="1416">
        <v>0</v>
      </c>
      <c r="AN73" s="1416">
        <v>0</v>
      </c>
      <c r="AO73" s="1416">
        <v>0</v>
      </c>
      <c r="AP73" s="1416">
        <v>0</v>
      </c>
      <c r="AQ73" s="1416">
        <v>0</v>
      </c>
      <c r="AR73" s="1416">
        <v>0</v>
      </c>
    </row>
    <row r="74" s="1390" customFormat="1" ht="18" customHeight="1" outlineLevel="2" spans="1:44">
      <c r="A74" s="1417" t="s">
        <v>485</v>
      </c>
      <c r="B74" s="1415">
        <v>327.760290727175</v>
      </c>
      <c r="C74" s="1416"/>
      <c r="D74" s="1416"/>
      <c r="E74" s="1416"/>
      <c r="F74" s="1416">
        <v>0</v>
      </c>
      <c r="G74" s="1416">
        <v>0</v>
      </c>
      <c r="H74" s="1416">
        <v>0</v>
      </c>
      <c r="I74" s="1416">
        <v>0</v>
      </c>
      <c r="J74" s="1416">
        <v>0</v>
      </c>
      <c r="K74" s="1416">
        <v>0</v>
      </c>
      <c r="L74" s="1416">
        <v>0</v>
      </c>
      <c r="M74" s="1416">
        <v>0</v>
      </c>
      <c r="N74" s="1416">
        <v>32.7760290727175</v>
      </c>
      <c r="O74" s="1416">
        <v>49.1640436090763</v>
      </c>
      <c r="P74" s="1416">
        <v>49.1640436090763</v>
      </c>
      <c r="Q74" s="1416">
        <v>32.7760290727175</v>
      </c>
      <c r="R74" s="1416">
        <v>32.7760290727175</v>
      </c>
      <c r="S74" s="1416">
        <v>32.7760290727175</v>
      </c>
      <c r="T74" s="1416">
        <v>32.7760290727175</v>
      </c>
      <c r="U74" s="1416">
        <v>32.7760290727174</v>
      </c>
      <c r="V74" s="1416">
        <v>32.7760290727175</v>
      </c>
      <c r="W74" s="1416">
        <v>0</v>
      </c>
      <c r="X74" s="1416">
        <v>0</v>
      </c>
      <c r="Y74" s="1416">
        <v>0</v>
      </c>
      <c r="Z74" s="1416">
        <v>0</v>
      </c>
      <c r="AA74" s="1416">
        <v>0</v>
      </c>
      <c r="AB74" s="1416">
        <v>0</v>
      </c>
      <c r="AC74" s="1416">
        <v>0</v>
      </c>
      <c r="AD74" s="1416">
        <v>0</v>
      </c>
      <c r="AE74" s="1416">
        <v>0</v>
      </c>
      <c r="AF74" s="1416">
        <v>0</v>
      </c>
      <c r="AG74" s="1416">
        <v>0</v>
      </c>
      <c r="AH74" s="1416">
        <v>0</v>
      </c>
      <c r="AI74" s="1416">
        <v>0</v>
      </c>
      <c r="AJ74" s="1416">
        <v>0</v>
      </c>
      <c r="AK74" s="1416">
        <v>0</v>
      </c>
      <c r="AL74" s="1416">
        <v>0</v>
      </c>
      <c r="AM74" s="1416">
        <v>0</v>
      </c>
      <c r="AN74" s="1416">
        <v>0</v>
      </c>
      <c r="AO74" s="1416">
        <v>0</v>
      </c>
      <c r="AP74" s="1416">
        <v>0</v>
      </c>
      <c r="AQ74" s="1416">
        <v>0</v>
      </c>
      <c r="AR74" s="1416">
        <v>0</v>
      </c>
    </row>
    <row r="78" spans="1:2">
      <c r="A78" s="1393">
        <v>8911.44184975903</v>
      </c>
      <c r="B78" s="1393">
        <v>14898.6002124773</v>
      </c>
    </row>
    <row r="79" spans="1:3">
      <c r="A79" s="1393">
        <v>25238.1590834291</v>
      </c>
      <c r="B79" s="1393">
        <v>46973.815739601</v>
      </c>
      <c r="C79" s="1420">
        <v>21735.6566561719</v>
      </c>
    </row>
    <row r="80" spans="1:3">
      <c r="A80" s="1393">
        <v>6110.40906833657</v>
      </c>
      <c r="B80" s="1393">
        <v>10581.7474188769</v>
      </c>
      <c r="C80" s="1420">
        <v>4471.33835054033</v>
      </c>
    </row>
    <row r="81" spans="1:3">
      <c r="A81" s="1393">
        <v>1715.023562</v>
      </c>
      <c r="B81" s="1393">
        <v>2450.82982059457</v>
      </c>
      <c r="C81" s="1420">
        <v>735.80625859457</v>
      </c>
    </row>
    <row r="82" spans="1:2">
      <c r="A82" s="1393">
        <v>3115.051017</v>
      </c>
      <c r="B82" s="1393">
        <v>4726.3083621159</v>
      </c>
    </row>
  </sheetData>
  <protectedRanges>
    <protectedRange sqref="B7" name="区域2_1_2_1_2_1_1_3_2_1_1" securityDescriptor=""/>
    <protectedRange sqref="A23:DP23" name="区域2" securityDescriptor=""/>
  </protectedRanges>
  <mergeCells count="7">
    <mergeCell ref="B1:C1"/>
    <mergeCell ref="D1:E1"/>
    <mergeCell ref="F1:G1"/>
    <mergeCell ref="B13:C13"/>
    <mergeCell ref="D13:E13"/>
    <mergeCell ref="F13:G13"/>
    <mergeCell ref="A1:A2"/>
  </mergeCells>
  <pageMargins left="0.699305555555556" right="0.699305555555556"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4" tint="0.399975585192419"/>
  </sheetPr>
  <dimension ref="A1:W41"/>
  <sheetViews>
    <sheetView workbookViewId="0">
      <pane xSplit="1" ySplit="2" topLeftCell="B3" activePane="bottomRight" state="frozen"/>
      <selection/>
      <selection pane="topRight"/>
      <selection pane="bottomLeft"/>
      <selection pane="bottomRight" activeCell="A1" sqref="A1"/>
    </sheetView>
  </sheetViews>
  <sheetFormatPr defaultColWidth="9" defaultRowHeight="12.75"/>
  <cols>
    <col min="1" max="1" width="17.1" style="1366" customWidth="1"/>
    <col min="2" max="5" width="13.4" style="1366" customWidth="1"/>
    <col min="6" max="6" width="18.9" style="1366" customWidth="1"/>
    <col min="7" max="7" width="6.4" style="1366" customWidth="1"/>
    <col min="8" max="8" width="13" style="1366" customWidth="1"/>
    <col min="9" max="11" width="13.6" style="1366" customWidth="1"/>
    <col min="12" max="12" width="14.1" style="1366" customWidth="1"/>
    <col min="13" max="13" width="12.4" style="1366" customWidth="1"/>
    <col min="14" max="17" width="11.6" style="1366" customWidth="1"/>
    <col min="18" max="255" width="9" style="1366"/>
    <col min="256" max="256" width="13.1" style="1366" customWidth="1"/>
    <col min="257" max="257" width="13.4" style="1366" customWidth="1"/>
    <col min="258" max="258" width="16.4" style="1366" customWidth="1"/>
    <col min="259" max="259" width="9.6" style="1366" customWidth="1"/>
    <col min="260" max="260" width="11.4" style="1366" customWidth="1"/>
    <col min="261" max="261" width="9.6" style="1366" customWidth="1"/>
    <col min="262" max="264" width="16.4" style="1366" customWidth="1"/>
    <col min="265" max="265" width="1.4" style="1366" customWidth="1"/>
    <col min="266" max="266" width="12.6" style="1366" customWidth="1"/>
    <col min="267" max="267" width="15.1" style="1366" customWidth="1"/>
    <col min="268" max="268" width="10.1" style="1366" customWidth="1"/>
    <col min="269" max="269" width="23" style="1366" customWidth="1"/>
    <col min="270" max="270" width="12.4" style="1366" customWidth="1"/>
    <col min="271" max="271" width="16.4" style="1366" customWidth="1"/>
    <col min="272" max="273" width="8.6" style="1366" customWidth="1"/>
    <col min="274" max="274" width="9.9" style="1366" customWidth="1"/>
    <col min="275" max="275" width="18.6" style="1366" customWidth="1"/>
    <col min="276" max="511" width="9" style="1366"/>
    <col min="512" max="512" width="13.1" style="1366" customWidth="1"/>
    <col min="513" max="513" width="13.4" style="1366" customWidth="1"/>
    <col min="514" max="514" width="16.4" style="1366" customWidth="1"/>
    <col min="515" max="515" width="9.6" style="1366" customWidth="1"/>
    <col min="516" max="516" width="11.4" style="1366" customWidth="1"/>
    <col min="517" max="517" width="9.6" style="1366" customWidth="1"/>
    <col min="518" max="520" width="16.4" style="1366" customWidth="1"/>
    <col min="521" max="521" width="1.4" style="1366" customWidth="1"/>
    <col min="522" max="522" width="12.6" style="1366" customWidth="1"/>
    <col min="523" max="523" width="15.1" style="1366" customWidth="1"/>
    <col min="524" max="524" width="10.1" style="1366" customWidth="1"/>
    <col min="525" max="525" width="23" style="1366" customWidth="1"/>
    <col min="526" max="526" width="12.4" style="1366" customWidth="1"/>
    <col min="527" max="527" width="16.4" style="1366" customWidth="1"/>
    <col min="528" max="529" width="8.6" style="1366" customWidth="1"/>
    <col min="530" max="530" width="9.9" style="1366" customWidth="1"/>
    <col min="531" max="531" width="18.6" style="1366" customWidth="1"/>
    <col min="532" max="767" width="9" style="1366"/>
    <col min="768" max="768" width="13.1" style="1366" customWidth="1"/>
    <col min="769" max="769" width="13.4" style="1366" customWidth="1"/>
    <col min="770" max="770" width="16.4" style="1366" customWidth="1"/>
    <col min="771" max="771" width="9.6" style="1366" customWidth="1"/>
    <col min="772" max="772" width="11.4" style="1366" customWidth="1"/>
    <col min="773" max="773" width="9.6" style="1366" customWidth="1"/>
    <col min="774" max="776" width="16.4" style="1366" customWidth="1"/>
    <col min="777" max="777" width="1.4" style="1366" customWidth="1"/>
    <col min="778" max="778" width="12.6" style="1366" customWidth="1"/>
    <col min="779" max="779" width="15.1" style="1366" customWidth="1"/>
    <col min="780" max="780" width="10.1" style="1366" customWidth="1"/>
    <col min="781" max="781" width="23" style="1366" customWidth="1"/>
    <col min="782" max="782" width="12.4" style="1366" customWidth="1"/>
    <col min="783" max="783" width="16.4" style="1366" customWidth="1"/>
    <col min="784" max="785" width="8.6" style="1366" customWidth="1"/>
    <col min="786" max="786" width="9.9" style="1366" customWidth="1"/>
    <col min="787" max="787" width="18.6" style="1366" customWidth="1"/>
    <col min="788" max="1023" width="9" style="1366"/>
    <col min="1024" max="1024" width="13.1" style="1366" customWidth="1"/>
    <col min="1025" max="1025" width="13.4" style="1366" customWidth="1"/>
    <col min="1026" max="1026" width="16.4" style="1366" customWidth="1"/>
    <col min="1027" max="1027" width="9.6" style="1366" customWidth="1"/>
    <col min="1028" max="1028" width="11.4" style="1366" customWidth="1"/>
    <col min="1029" max="1029" width="9.6" style="1366" customWidth="1"/>
    <col min="1030" max="1032" width="16.4" style="1366" customWidth="1"/>
    <col min="1033" max="1033" width="1.4" style="1366" customWidth="1"/>
    <col min="1034" max="1034" width="12.6" style="1366" customWidth="1"/>
    <col min="1035" max="1035" width="15.1" style="1366" customWidth="1"/>
    <col min="1036" max="1036" width="10.1" style="1366" customWidth="1"/>
    <col min="1037" max="1037" width="23" style="1366" customWidth="1"/>
    <col min="1038" max="1038" width="12.4" style="1366" customWidth="1"/>
    <col min="1039" max="1039" width="16.4" style="1366" customWidth="1"/>
    <col min="1040" max="1041" width="8.6" style="1366" customWidth="1"/>
    <col min="1042" max="1042" width="9.9" style="1366" customWidth="1"/>
    <col min="1043" max="1043" width="18.6" style="1366" customWidth="1"/>
    <col min="1044" max="1279" width="9" style="1366"/>
    <col min="1280" max="1280" width="13.1" style="1366" customWidth="1"/>
    <col min="1281" max="1281" width="13.4" style="1366" customWidth="1"/>
    <col min="1282" max="1282" width="16.4" style="1366" customWidth="1"/>
    <col min="1283" max="1283" width="9.6" style="1366" customWidth="1"/>
    <col min="1284" max="1284" width="11.4" style="1366" customWidth="1"/>
    <col min="1285" max="1285" width="9.6" style="1366" customWidth="1"/>
    <col min="1286" max="1288" width="16.4" style="1366" customWidth="1"/>
    <col min="1289" max="1289" width="1.4" style="1366" customWidth="1"/>
    <col min="1290" max="1290" width="12.6" style="1366" customWidth="1"/>
    <col min="1291" max="1291" width="15.1" style="1366" customWidth="1"/>
    <col min="1292" max="1292" width="10.1" style="1366" customWidth="1"/>
    <col min="1293" max="1293" width="23" style="1366" customWidth="1"/>
    <col min="1294" max="1294" width="12.4" style="1366" customWidth="1"/>
    <col min="1295" max="1295" width="16.4" style="1366" customWidth="1"/>
    <col min="1296" max="1297" width="8.6" style="1366" customWidth="1"/>
    <col min="1298" max="1298" width="9.9" style="1366" customWidth="1"/>
    <col min="1299" max="1299" width="18.6" style="1366" customWidth="1"/>
    <col min="1300" max="1535" width="9" style="1366"/>
    <col min="1536" max="1536" width="13.1" style="1366" customWidth="1"/>
    <col min="1537" max="1537" width="13.4" style="1366" customWidth="1"/>
    <col min="1538" max="1538" width="16.4" style="1366" customWidth="1"/>
    <col min="1539" max="1539" width="9.6" style="1366" customWidth="1"/>
    <col min="1540" max="1540" width="11.4" style="1366" customWidth="1"/>
    <col min="1541" max="1541" width="9.6" style="1366" customWidth="1"/>
    <col min="1542" max="1544" width="16.4" style="1366" customWidth="1"/>
    <col min="1545" max="1545" width="1.4" style="1366" customWidth="1"/>
    <col min="1546" max="1546" width="12.6" style="1366" customWidth="1"/>
    <col min="1547" max="1547" width="15.1" style="1366" customWidth="1"/>
    <col min="1548" max="1548" width="10.1" style="1366" customWidth="1"/>
    <col min="1549" max="1549" width="23" style="1366" customWidth="1"/>
    <col min="1550" max="1550" width="12.4" style="1366" customWidth="1"/>
    <col min="1551" max="1551" width="16.4" style="1366" customWidth="1"/>
    <col min="1552" max="1553" width="8.6" style="1366" customWidth="1"/>
    <col min="1554" max="1554" width="9.9" style="1366" customWidth="1"/>
    <col min="1555" max="1555" width="18.6" style="1366" customWidth="1"/>
    <col min="1556" max="1791" width="9" style="1366"/>
    <col min="1792" max="1792" width="13.1" style="1366" customWidth="1"/>
    <col min="1793" max="1793" width="13.4" style="1366" customWidth="1"/>
    <col min="1794" max="1794" width="16.4" style="1366" customWidth="1"/>
    <col min="1795" max="1795" width="9.6" style="1366" customWidth="1"/>
    <col min="1796" max="1796" width="11.4" style="1366" customWidth="1"/>
    <col min="1797" max="1797" width="9.6" style="1366" customWidth="1"/>
    <col min="1798" max="1800" width="16.4" style="1366" customWidth="1"/>
    <col min="1801" max="1801" width="1.4" style="1366" customWidth="1"/>
    <col min="1802" max="1802" width="12.6" style="1366" customWidth="1"/>
    <col min="1803" max="1803" width="15.1" style="1366" customWidth="1"/>
    <col min="1804" max="1804" width="10.1" style="1366" customWidth="1"/>
    <col min="1805" max="1805" width="23" style="1366" customWidth="1"/>
    <col min="1806" max="1806" width="12.4" style="1366" customWidth="1"/>
    <col min="1807" max="1807" width="16.4" style="1366" customWidth="1"/>
    <col min="1808" max="1809" width="8.6" style="1366" customWidth="1"/>
    <col min="1810" max="1810" width="9.9" style="1366" customWidth="1"/>
    <col min="1811" max="1811" width="18.6" style="1366" customWidth="1"/>
    <col min="1812" max="2047" width="9" style="1366"/>
    <col min="2048" max="2048" width="13.1" style="1366" customWidth="1"/>
    <col min="2049" max="2049" width="13.4" style="1366" customWidth="1"/>
    <col min="2050" max="2050" width="16.4" style="1366" customWidth="1"/>
    <col min="2051" max="2051" width="9.6" style="1366" customWidth="1"/>
    <col min="2052" max="2052" width="11.4" style="1366" customWidth="1"/>
    <col min="2053" max="2053" width="9.6" style="1366" customWidth="1"/>
    <col min="2054" max="2056" width="16.4" style="1366" customWidth="1"/>
    <col min="2057" max="2057" width="1.4" style="1366" customWidth="1"/>
    <col min="2058" max="2058" width="12.6" style="1366" customWidth="1"/>
    <col min="2059" max="2059" width="15.1" style="1366" customWidth="1"/>
    <col min="2060" max="2060" width="10.1" style="1366" customWidth="1"/>
    <col min="2061" max="2061" width="23" style="1366" customWidth="1"/>
    <col min="2062" max="2062" width="12.4" style="1366" customWidth="1"/>
    <col min="2063" max="2063" width="16.4" style="1366" customWidth="1"/>
    <col min="2064" max="2065" width="8.6" style="1366" customWidth="1"/>
    <col min="2066" max="2066" width="9.9" style="1366" customWidth="1"/>
    <col min="2067" max="2067" width="18.6" style="1366" customWidth="1"/>
    <col min="2068" max="2303" width="9" style="1366"/>
    <col min="2304" max="2304" width="13.1" style="1366" customWidth="1"/>
    <col min="2305" max="2305" width="13.4" style="1366" customWidth="1"/>
    <col min="2306" max="2306" width="16.4" style="1366" customWidth="1"/>
    <col min="2307" max="2307" width="9.6" style="1366" customWidth="1"/>
    <col min="2308" max="2308" width="11.4" style="1366" customWidth="1"/>
    <col min="2309" max="2309" width="9.6" style="1366" customWidth="1"/>
    <col min="2310" max="2312" width="16.4" style="1366" customWidth="1"/>
    <col min="2313" max="2313" width="1.4" style="1366" customWidth="1"/>
    <col min="2314" max="2314" width="12.6" style="1366" customWidth="1"/>
    <col min="2315" max="2315" width="15.1" style="1366" customWidth="1"/>
    <col min="2316" max="2316" width="10.1" style="1366" customWidth="1"/>
    <col min="2317" max="2317" width="23" style="1366" customWidth="1"/>
    <col min="2318" max="2318" width="12.4" style="1366" customWidth="1"/>
    <col min="2319" max="2319" width="16.4" style="1366" customWidth="1"/>
    <col min="2320" max="2321" width="8.6" style="1366" customWidth="1"/>
    <col min="2322" max="2322" width="9.9" style="1366" customWidth="1"/>
    <col min="2323" max="2323" width="18.6" style="1366" customWidth="1"/>
    <col min="2324" max="2559" width="9" style="1366"/>
    <col min="2560" max="2560" width="13.1" style="1366" customWidth="1"/>
    <col min="2561" max="2561" width="13.4" style="1366" customWidth="1"/>
    <col min="2562" max="2562" width="16.4" style="1366" customWidth="1"/>
    <col min="2563" max="2563" width="9.6" style="1366" customWidth="1"/>
    <col min="2564" max="2564" width="11.4" style="1366" customWidth="1"/>
    <col min="2565" max="2565" width="9.6" style="1366" customWidth="1"/>
    <col min="2566" max="2568" width="16.4" style="1366" customWidth="1"/>
    <col min="2569" max="2569" width="1.4" style="1366" customWidth="1"/>
    <col min="2570" max="2570" width="12.6" style="1366" customWidth="1"/>
    <col min="2571" max="2571" width="15.1" style="1366" customWidth="1"/>
    <col min="2572" max="2572" width="10.1" style="1366" customWidth="1"/>
    <col min="2573" max="2573" width="23" style="1366" customWidth="1"/>
    <col min="2574" max="2574" width="12.4" style="1366" customWidth="1"/>
    <col min="2575" max="2575" width="16.4" style="1366" customWidth="1"/>
    <col min="2576" max="2577" width="8.6" style="1366" customWidth="1"/>
    <col min="2578" max="2578" width="9.9" style="1366" customWidth="1"/>
    <col min="2579" max="2579" width="18.6" style="1366" customWidth="1"/>
    <col min="2580" max="2815" width="9" style="1366"/>
    <col min="2816" max="2816" width="13.1" style="1366" customWidth="1"/>
    <col min="2817" max="2817" width="13.4" style="1366" customWidth="1"/>
    <col min="2818" max="2818" width="16.4" style="1366" customWidth="1"/>
    <col min="2819" max="2819" width="9.6" style="1366" customWidth="1"/>
    <col min="2820" max="2820" width="11.4" style="1366" customWidth="1"/>
    <col min="2821" max="2821" width="9.6" style="1366" customWidth="1"/>
    <col min="2822" max="2824" width="16.4" style="1366" customWidth="1"/>
    <col min="2825" max="2825" width="1.4" style="1366" customWidth="1"/>
    <col min="2826" max="2826" width="12.6" style="1366" customWidth="1"/>
    <col min="2827" max="2827" width="15.1" style="1366" customWidth="1"/>
    <col min="2828" max="2828" width="10.1" style="1366" customWidth="1"/>
    <col min="2829" max="2829" width="23" style="1366" customWidth="1"/>
    <col min="2830" max="2830" width="12.4" style="1366" customWidth="1"/>
    <col min="2831" max="2831" width="16.4" style="1366" customWidth="1"/>
    <col min="2832" max="2833" width="8.6" style="1366" customWidth="1"/>
    <col min="2834" max="2834" width="9.9" style="1366" customWidth="1"/>
    <col min="2835" max="2835" width="18.6" style="1366" customWidth="1"/>
    <col min="2836" max="3071" width="9" style="1366"/>
    <col min="3072" max="3072" width="13.1" style="1366" customWidth="1"/>
    <col min="3073" max="3073" width="13.4" style="1366" customWidth="1"/>
    <col min="3074" max="3074" width="16.4" style="1366" customWidth="1"/>
    <col min="3075" max="3075" width="9.6" style="1366" customWidth="1"/>
    <col min="3076" max="3076" width="11.4" style="1366" customWidth="1"/>
    <col min="3077" max="3077" width="9.6" style="1366" customWidth="1"/>
    <col min="3078" max="3080" width="16.4" style="1366" customWidth="1"/>
    <col min="3081" max="3081" width="1.4" style="1366" customWidth="1"/>
    <col min="3082" max="3082" width="12.6" style="1366" customWidth="1"/>
    <col min="3083" max="3083" width="15.1" style="1366" customWidth="1"/>
    <col min="3084" max="3084" width="10.1" style="1366" customWidth="1"/>
    <col min="3085" max="3085" width="23" style="1366" customWidth="1"/>
    <col min="3086" max="3086" width="12.4" style="1366" customWidth="1"/>
    <col min="3087" max="3087" width="16.4" style="1366" customWidth="1"/>
    <col min="3088" max="3089" width="8.6" style="1366" customWidth="1"/>
    <col min="3090" max="3090" width="9.9" style="1366" customWidth="1"/>
    <col min="3091" max="3091" width="18.6" style="1366" customWidth="1"/>
    <col min="3092" max="3327" width="9" style="1366"/>
    <col min="3328" max="3328" width="13.1" style="1366" customWidth="1"/>
    <col min="3329" max="3329" width="13.4" style="1366" customWidth="1"/>
    <col min="3330" max="3330" width="16.4" style="1366" customWidth="1"/>
    <col min="3331" max="3331" width="9.6" style="1366" customWidth="1"/>
    <col min="3332" max="3332" width="11.4" style="1366" customWidth="1"/>
    <col min="3333" max="3333" width="9.6" style="1366" customWidth="1"/>
    <col min="3334" max="3336" width="16.4" style="1366" customWidth="1"/>
    <col min="3337" max="3337" width="1.4" style="1366" customWidth="1"/>
    <col min="3338" max="3338" width="12.6" style="1366" customWidth="1"/>
    <col min="3339" max="3339" width="15.1" style="1366" customWidth="1"/>
    <col min="3340" max="3340" width="10.1" style="1366" customWidth="1"/>
    <col min="3341" max="3341" width="23" style="1366" customWidth="1"/>
    <col min="3342" max="3342" width="12.4" style="1366" customWidth="1"/>
    <col min="3343" max="3343" width="16.4" style="1366" customWidth="1"/>
    <col min="3344" max="3345" width="8.6" style="1366" customWidth="1"/>
    <col min="3346" max="3346" width="9.9" style="1366" customWidth="1"/>
    <col min="3347" max="3347" width="18.6" style="1366" customWidth="1"/>
    <col min="3348" max="3583" width="9" style="1366"/>
    <col min="3584" max="3584" width="13.1" style="1366" customWidth="1"/>
    <col min="3585" max="3585" width="13.4" style="1366" customWidth="1"/>
    <col min="3586" max="3586" width="16.4" style="1366" customWidth="1"/>
    <col min="3587" max="3587" width="9.6" style="1366" customWidth="1"/>
    <col min="3588" max="3588" width="11.4" style="1366" customWidth="1"/>
    <col min="3589" max="3589" width="9.6" style="1366" customWidth="1"/>
    <col min="3590" max="3592" width="16.4" style="1366" customWidth="1"/>
    <col min="3593" max="3593" width="1.4" style="1366" customWidth="1"/>
    <col min="3594" max="3594" width="12.6" style="1366" customWidth="1"/>
    <col min="3595" max="3595" width="15.1" style="1366" customWidth="1"/>
    <col min="3596" max="3596" width="10.1" style="1366" customWidth="1"/>
    <col min="3597" max="3597" width="23" style="1366" customWidth="1"/>
    <col min="3598" max="3598" width="12.4" style="1366" customWidth="1"/>
    <col min="3599" max="3599" width="16.4" style="1366" customWidth="1"/>
    <col min="3600" max="3601" width="8.6" style="1366" customWidth="1"/>
    <col min="3602" max="3602" width="9.9" style="1366" customWidth="1"/>
    <col min="3603" max="3603" width="18.6" style="1366" customWidth="1"/>
    <col min="3604" max="3839" width="9" style="1366"/>
    <col min="3840" max="3840" width="13.1" style="1366" customWidth="1"/>
    <col min="3841" max="3841" width="13.4" style="1366" customWidth="1"/>
    <col min="3842" max="3842" width="16.4" style="1366" customWidth="1"/>
    <col min="3843" max="3843" width="9.6" style="1366" customWidth="1"/>
    <col min="3844" max="3844" width="11.4" style="1366" customWidth="1"/>
    <col min="3845" max="3845" width="9.6" style="1366" customWidth="1"/>
    <col min="3846" max="3848" width="16.4" style="1366" customWidth="1"/>
    <col min="3849" max="3849" width="1.4" style="1366" customWidth="1"/>
    <col min="3850" max="3850" width="12.6" style="1366" customWidth="1"/>
    <col min="3851" max="3851" width="15.1" style="1366" customWidth="1"/>
    <col min="3852" max="3852" width="10.1" style="1366" customWidth="1"/>
    <col min="3853" max="3853" width="23" style="1366" customWidth="1"/>
    <col min="3854" max="3854" width="12.4" style="1366" customWidth="1"/>
    <col min="3855" max="3855" width="16.4" style="1366" customWidth="1"/>
    <col min="3856" max="3857" width="8.6" style="1366" customWidth="1"/>
    <col min="3858" max="3858" width="9.9" style="1366" customWidth="1"/>
    <col min="3859" max="3859" width="18.6" style="1366" customWidth="1"/>
    <col min="3860" max="4095" width="9" style="1366"/>
    <col min="4096" max="4096" width="13.1" style="1366" customWidth="1"/>
    <col min="4097" max="4097" width="13.4" style="1366" customWidth="1"/>
    <col min="4098" max="4098" width="16.4" style="1366" customWidth="1"/>
    <col min="4099" max="4099" width="9.6" style="1366" customWidth="1"/>
    <col min="4100" max="4100" width="11.4" style="1366" customWidth="1"/>
    <col min="4101" max="4101" width="9.6" style="1366" customWidth="1"/>
    <col min="4102" max="4104" width="16.4" style="1366" customWidth="1"/>
    <col min="4105" max="4105" width="1.4" style="1366" customWidth="1"/>
    <col min="4106" max="4106" width="12.6" style="1366" customWidth="1"/>
    <col min="4107" max="4107" width="15.1" style="1366" customWidth="1"/>
    <col min="4108" max="4108" width="10.1" style="1366" customWidth="1"/>
    <col min="4109" max="4109" width="23" style="1366" customWidth="1"/>
    <col min="4110" max="4110" width="12.4" style="1366" customWidth="1"/>
    <col min="4111" max="4111" width="16.4" style="1366" customWidth="1"/>
    <col min="4112" max="4113" width="8.6" style="1366" customWidth="1"/>
    <col min="4114" max="4114" width="9.9" style="1366" customWidth="1"/>
    <col min="4115" max="4115" width="18.6" style="1366" customWidth="1"/>
    <col min="4116" max="4351" width="9" style="1366"/>
    <col min="4352" max="4352" width="13.1" style="1366" customWidth="1"/>
    <col min="4353" max="4353" width="13.4" style="1366" customWidth="1"/>
    <col min="4354" max="4354" width="16.4" style="1366" customWidth="1"/>
    <col min="4355" max="4355" width="9.6" style="1366" customWidth="1"/>
    <col min="4356" max="4356" width="11.4" style="1366" customWidth="1"/>
    <col min="4357" max="4357" width="9.6" style="1366" customWidth="1"/>
    <col min="4358" max="4360" width="16.4" style="1366" customWidth="1"/>
    <col min="4361" max="4361" width="1.4" style="1366" customWidth="1"/>
    <col min="4362" max="4362" width="12.6" style="1366" customWidth="1"/>
    <col min="4363" max="4363" width="15.1" style="1366" customWidth="1"/>
    <col min="4364" max="4364" width="10.1" style="1366" customWidth="1"/>
    <col min="4365" max="4365" width="23" style="1366" customWidth="1"/>
    <col min="4366" max="4366" width="12.4" style="1366" customWidth="1"/>
    <col min="4367" max="4367" width="16.4" style="1366" customWidth="1"/>
    <col min="4368" max="4369" width="8.6" style="1366" customWidth="1"/>
    <col min="4370" max="4370" width="9.9" style="1366" customWidth="1"/>
    <col min="4371" max="4371" width="18.6" style="1366" customWidth="1"/>
    <col min="4372" max="4607" width="9" style="1366"/>
    <col min="4608" max="4608" width="13.1" style="1366" customWidth="1"/>
    <col min="4609" max="4609" width="13.4" style="1366" customWidth="1"/>
    <col min="4610" max="4610" width="16.4" style="1366" customWidth="1"/>
    <col min="4611" max="4611" width="9.6" style="1366" customWidth="1"/>
    <col min="4612" max="4612" width="11.4" style="1366" customWidth="1"/>
    <col min="4613" max="4613" width="9.6" style="1366" customWidth="1"/>
    <col min="4614" max="4616" width="16.4" style="1366" customWidth="1"/>
    <col min="4617" max="4617" width="1.4" style="1366" customWidth="1"/>
    <col min="4618" max="4618" width="12.6" style="1366" customWidth="1"/>
    <col min="4619" max="4619" width="15.1" style="1366" customWidth="1"/>
    <col min="4620" max="4620" width="10.1" style="1366" customWidth="1"/>
    <col min="4621" max="4621" width="23" style="1366" customWidth="1"/>
    <col min="4622" max="4622" width="12.4" style="1366" customWidth="1"/>
    <col min="4623" max="4623" width="16.4" style="1366" customWidth="1"/>
    <col min="4624" max="4625" width="8.6" style="1366" customWidth="1"/>
    <col min="4626" max="4626" width="9.9" style="1366" customWidth="1"/>
    <col min="4627" max="4627" width="18.6" style="1366" customWidth="1"/>
    <col min="4628" max="4863" width="9" style="1366"/>
    <col min="4864" max="4864" width="13.1" style="1366" customWidth="1"/>
    <col min="4865" max="4865" width="13.4" style="1366" customWidth="1"/>
    <col min="4866" max="4866" width="16.4" style="1366" customWidth="1"/>
    <col min="4867" max="4867" width="9.6" style="1366" customWidth="1"/>
    <col min="4868" max="4868" width="11.4" style="1366" customWidth="1"/>
    <col min="4869" max="4869" width="9.6" style="1366" customWidth="1"/>
    <col min="4870" max="4872" width="16.4" style="1366" customWidth="1"/>
    <col min="4873" max="4873" width="1.4" style="1366" customWidth="1"/>
    <col min="4874" max="4874" width="12.6" style="1366" customWidth="1"/>
    <col min="4875" max="4875" width="15.1" style="1366" customWidth="1"/>
    <col min="4876" max="4876" width="10.1" style="1366" customWidth="1"/>
    <col min="4877" max="4877" width="23" style="1366" customWidth="1"/>
    <col min="4878" max="4878" width="12.4" style="1366" customWidth="1"/>
    <col min="4879" max="4879" width="16.4" style="1366" customWidth="1"/>
    <col min="4880" max="4881" width="8.6" style="1366" customWidth="1"/>
    <col min="4882" max="4882" width="9.9" style="1366" customWidth="1"/>
    <col min="4883" max="4883" width="18.6" style="1366" customWidth="1"/>
    <col min="4884" max="5119" width="9" style="1366"/>
    <col min="5120" max="5120" width="13.1" style="1366" customWidth="1"/>
    <col min="5121" max="5121" width="13.4" style="1366" customWidth="1"/>
    <col min="5122" max="5122" width="16.4" style="1366" customWidth="1"/>
    <col min="5123" max="5123" width="9.6" style="1366" customWidth="1"/>
    <col min="5124" max="5124" width="11.4" style="1366" customWidth="1"/>
    <col min="5125" max="5125" width="9.6" style="1366" customWidth="1"/>
    <col min="5126" max="5128" width="16.4" style="1366" customWidth="1"/>
    <col min="5129" max="5129" width="1.4" style="1366" customWidth="1"/>
    <col min="5130" max="5130" width="12.6" style="1366" customWidth="1"/>
    <col min="5131" max="5131" width="15.1" style="1366" customWidth="1"/>
    <col min="5132" max="5132" width="10.1" style="1366" customWidth="1"/>
    <col min="5133" max="5133" width="23" style="1366" customWidth="1"/>
    <col min="5134" max="5134" width="12.4" style="1366" customWidth="1"/>
    <col min="5135" max="5135" width="16.4" style="1366" customWidth="1"/>
    <col min="5136" max="5137" width="8.6" style="1366" customWidth="1"/>
    <col min="5138" max="5138" width="9.9" style="1366" customWidth="1"/>
    <col min="5139" max="5139" width="18.6" style="1366" customWidth="1"/>
    <col min="5140" max="5375" width="9" style="1366"/>
    <col min="5376" max="5376" width="13.1" style="1366" customWidth="1"/>
    <col min="5377" max="5377" width="13.4" style="1366" customWidth="1"/>
    <col min="5378" max="5378" width="16.4" style="1366" customWidth="1"/>
    <col min="5379" max="5379" width="9.6" style="1366" customWidth="1"/>
    <col min="5380" max="5380" width="11.4" style="1366" customWidth="1"/>
    <col min="5381" max="5381" width="9.6" style="1366" customWidth="1"/>
    <col min="5382" max="5384" width="16.4" style="1366" customWidth="1"/>
    <col min="5385" max="5385" width="1.4" style="1366" customWidth="1"/>
    <col min="5386" max="5386" width="12.6" style="1366" customWidth="1"/>
    <col min="5387" max="5387" width="15.1" style="1366" customWidth="1"/>
    <col min="5388" max="5388" width="10.1" style="1366" customWidth="1"/>
    <col min="5389" max="5389" width="23" style="1366" customWidth="1"/>
    <col min="5390" max="5390" width="12.4" style="1366" customWidth="1"/>
    <col min="5391" max="5391" width="16.4" style="1366" customWidth="1"/>
    <col min="5392" max="5393" width="8.6" style="1366" customWidth="1"/>
    <col min="5394" max="5394" width="9.9" style="1366" customWidth="1"/>
    <col min="5395" max="5395" width="18.6" style="1366" customWidth="1"/>
    <col min="5396" max="5631" width="9" style="1366"/>
    <col min="5632" max="5632" width="13.1" style="1366" customWidth="1"/>
    <col min="5633" max="5633" width="13.4" style="1366" customWidth="1"/>
    <col min="5634" max="5634" width="16.4" style="1366" customWidth="1"/>
    <col min="5635" max="5635" width="9.6" style="1366" customWidth="1"/>
    <col min="5636" max="5636" width="11.4" style="1366" customWidth="1"/>
    <col min="5637" max="5637" width="9.6" style="1366" customWidth="1"/>
    <col min="5638" max="5640" width="16.4" style="1366" customWidth="1"/>
    <col min="5641" max="5641" width="1.4" style="1366" customWidth="1"/>
    <col min="5642" max="5642" width="12.6" style="1366" customWidth="1"/>
    <col min="5643" max="5643" width="15.1" style="1366" customWidth="1"/>
    <col min="5644" max="5644" width="10.1" style="1366" customWidth="1"/>
    <col min="5645" max="5645" width="23" style="1366" customWidth="1"/>
    <col min="5646" max="5646" width="12.4" style="1366" customWidth="1"/>
    <col min="5647" max="5647" width="16.4" style="1366" customWidth="1"/>
    <col min="5648" max="5649" width="8.6" style="1366" customWidth="1"/>
    <col min="5650" max="5650" width="9.9" style="1366" customWidth="1"/>
    <col min="5651" max="5651" width="18.6" style="1366" customWidth="1"/>
    <col min="5652" max="5887" width="9" style="1366"/>
    <col min="5888" max="5888" width="13.1" style="1366" customWidth="1"/>
    <col min="5889" max="5889" width="13.4" style="1366" customWidth="1"/>
    <col min="5890" max="5890" width="16.4" style="1366" customWidth="1"/>
    <col min="5891" max="5891" width="9.6" style="1366" customWidth="1"/>
    <col min="5892" max="5892" width="11.4" style="1366" customWidth="1"/>
    <col min="5893" max="5893" width="9.6" style="1366" customWidth="1"/>
    <col min="5894" max="5896" width="16.4" style="1366" customWidth="1"/>
    <col min="5897" max="5897" width="1.4" style="1366" customWidth="1"/>
    <col min="5898" max="5898" width="12.6" style="1366" customWidth="1"/>
    <col min="5899" max="5899" width="15.1" style="1366" customWidth="1"/>
    <col min="5900" max="5900" width="10.1" style="1366" customWidth="1"/>
    <col min="5901" max="5901" width="23" style="1366" customWidth="1"/>
    <col min="5902" max="5902" width="12.4" style="1366" customWidth="1"/>
    <col min="5903" max="5903" width="16.4" style="1366" customWidth="1"/>
    <col min="5904" max="5905" width="8.6" style="1366" customWidth="1"/>
    <col min="5906" max="5906" width="9.9" style="1366" customWidth="1"/>
    <col min="5907" max="5907" width="18.6" style="1366" customWidth="1"/>
    <col min="5908" max="6143" width="9" style="1366"/>
    <col min="6144" max="6144" width="13.1" style="1366" customWidth="1"/>
    <col min="6145" max="6145" width="13.4" style="1366" customWidth="1"/>
    <col min="6146" max="6146" width="16.4" style="1366" customWidth="1"/>
    <col min="6147" max="6147" width="9.6" style="1366" customWidth="1"/>
    <col min="6148" max="6148" width="11.4" style="1366" customWidth="1"/>
    <col min="6149" max="6149" width="9.6" style="1366" customWidth="1"/>
    <col min="6150" max="6152" width="16.4" style="1366" customWidth="1"/>
    <col min="6153" max="6153" width="1.4" style="1366" customWidth="1"/>
    <col min="6154" max="6154" width="12.6" style="1366" customWidth="1"/>
    <col min="6155" max="6155" width="15.1" style="1366" customWidth="1"/>
    <col min="6156" max="6156" width="10.1" style="1366" customWidth="1"/>
    <col min="6157" max="6157" width="23" style="1366" customWidth="1"/>
    <col min="6158" max="6158" width="12.4" style="1366" customWidth="1"/>
    <col min="6159" max="6159" width="16.4" style="1366" customWidth="1"/>
    <col min="6160" max="6161" width="8.6" style="1366" customWidth="1"/>
    <col min="6162" max="6162" width="9.9" style="1366" customWidth="1"/>
    <col min="6163" max="6163" width="18.6" style="1366" customWidth="1"/>
    <col min="6164" max="6399" width="9" style="1366"/>
    <col min="6400" max="6400" width="13.1" style="1366" customWidth="1"/>
    <col min="6401" max="6401" width="13.4" style="1366" customWidth="1"/>
    <col min="6402" max="6402" width="16.4" style="1366" customWidth="1"/>
    <col min="6403" max="6403" width="9.6" style="1366" customWidth="1"/>
    <col min="6404" max="6404" width="11.4" style="1366" customWidth="1"/>
    <col min="6405" max="6405" width="9.6" style="1366" customWidth="1"/>
    <col min="6406" max="6408" width="16.4" style="1366" customWidth="1"/>
    <col min="6409" max="6409" width="1.4" style="1366" customWidth="1"/>
    <col min="6410" max="6410" width="12.6" style="1366" customWidth="1"/>
    <col min="6411" max="6411" width="15.1" style="1366" customWidth="1"/>
    <col min="6412" max="6412" width="10.1" style="1366" customWidth="1"/>
    <col min="6413" max="6413" width="23" style="1366" customWidth="1"/>
    <col min="6414" max="6414" width="12.4" style="1366" customWidth="1"/>
    <col min="6415" max="6415" width="16.4" style="1366" customWidth="1"/>
    <col min="6416" max="6417" width="8.6" style="1366" customWidth="1"/>
    <col min="6418" max="6418" width="9.9" style="1366" customWidth="1"/>
    <col min="6419" max="6419" width="18.6" style="1366" customWidth="1"/>
    <col min="6420" max="6655" width="9" style="1366"/>
    <col min="6656" max="6656" width="13.1" style="1366" customWidth="1"/>
    <col min="6657" max="6657" width="13.4" style="1366" customWidth="1"/>
    <col min="6658" max="6658" width="16.4" style="1366" customWidth="1"/>
    <col min="6659" max="6659" width="9.6" style="1366" customWidth="1"/>
    <col min="6660" max="6660" width="11.4" style="1366" customWidth="1"/>
    <col min="6661" max="6661" width="9.6" style="1366" customWidth="1"/>
    <col min="6662" max="6664" width="16.4" style="1366" customWidth="1"/>
    <col min="6665" max="6665" width="1.4" style="1366" customWidth="1"/>
    <col min="6666" max="6666" width="12.6" style="1366" customWidth="1"/>
    <col min="6667" max="6667" width="15.1" style="1366" customWidth="1"/>
    <col min="6668" max="6668" width="10.1" style="1366" customWidth="1"/>
    <col min="6669" max="6669" width="23" style="1366" customWidth="1"/>
    <col min="6670" max="6670" width="12.4" style="1366" customWidth="1"/>
    <col min="6671" max="6671" width="16.4" style="1366" customWidth="1"/>
    <col min="6672" max="6673" width="8.6" style="1366" customWidth="1"/>
    <col min="6674" max="6674" width="9.9" style="1366" customWidth="1"/>
    <col min="6675" max="6675" width="18.6" style="1366" customWidth="1"/>
    <col min="6676" max="6911" width="9" style="1366"/>
    <col min="6912" max="6912" width="13.1" style="1366" customWidth="1"/>
    <col min="6913" max="6913" width="13.4" style="1366" customWidth="1"/>
    <col min="6914" max="6914" width="16.4" style="1366" customWidth="1"/>
    <col min="6915" max="6915" width="9.6" style="1366" customWidth="1"/>
    <col min="6916" max="6916" width="11.4" style="1366" customWidth="1"/>
    <col min="6917" max="6917" width="9.6" style="1366" customWidth="1"/>
    <col min="6918" max="6920" width="16.4" style="1366" customWidth="1"/>
    <col min="6921" max="6921" width="1.4" style="1366" customWidth="1"/>
    <col min="6922" max="6922" width="12.6" style="1366" customWidth="1"/>
    <col min="6923" max="6923" width="15.1" style="1366" customWidth="1"/>
    <col min="6924" max="6924" width="10.1" style="1366" customWidth="1"/>
    <col min="6925" max="6925" width="23" style="1366" customWidth="1"/>
    <col min="6926" max="6926" width="12.4" style="1366" customWidth="1"/>
    <col min="6927" max="6927" width="16.4" style="1366" customWidth="1"/>
    <col min="6928" max="6929" width="8.6" style="1366" customWidth="1"/>
    <col min="6930" max="6930" width="9.9" style="1366" customWidth="1"/>
    <col min="6931" max="6931" width="18.6" style="1366" customWidth="1"/>
    <col min="6932" max="7167" width="9" style="1366"/>
    <col min="7168" max="7168" width="13.1" style="1366" customWidth="1"/>
    <col min="7169" max="7169" width="13.4" style="1366" customWidth="1"/>
    <col min="7170" max="7170" width="16.4" style="1366" customWidth="1"/>
    <col min="7171" max="7171" width="9.6" style="1366" customWidth="1"/>
    <col min="7172" max="7172" width="11.4" style="1366" customWidth="1"/>
    <col min="7173" max="7173" width="9.6" style="1366" customWidth="1"/>
    <col min="7174" max="7176" width="16.4" style="1366" customWidth="1"/>
    <col min="7177" max="7177" width="1.4" style="1366" customWidth="1"/>
    <col min="7178" max="7178" width="12.6" style="1366" customWidth="1"/>
    <col min="7179" max="7179" width="15.1" style="1366" customWidth="1"/>
    <col min="7180" max="7180" width="10.1" style="1366" customWidth="1"/>
    <col min="7181" max="7181" width="23" style="1366" customWidth="1"/>
    <col min="7182" max="7182" width="12.4" style="1366" customWidth="1"/>
    <col min="7183" max="7183" width="16.4" style="1366" customWidth="1"/>
    <col min="7184" max="7185" width="8.6" style="1366" customWidth="1"/>
    <col min="7186" max="7186" width="9.9" style="1366" customWidth="1"/>
    <col min="7187" max="7187" width="18.6" style="1366" customWidth="1"/>
    <col min="7188" max="7423" width="9" style="1366"/>
    <col min="7424" max="7424" width="13.1" style="1366" customWidth="1"/>
    <col min="7425" max="7425" width="13.4" style="1366" customWidth="1"/>
    <col min="7426" max="7426" width="16.4" style="1366" customWidth="1"/>
    <col min="7427" max="7427" width="9.6" style="1366" customWidth="1"/>
    <col min="7428" max="7428" width="11.4" style="1366" customWidth="1"/>
    <col min="7429" max="7429" width="9.6" style="1366" customWidth="1"/>
    <col min="7430" max="7432" width="16.4" style="1366" customWidth="1"/>
    <col min="7433" max="7433" width="1.4" style="1366" customWidth="1"/>
    <col min="7434" max="7434" width="12.6" style="1366" customWidth="1"/>
    <col min="7435" max="7435" width="15.1" style="1366" customWidth="1"/>
    <col min="7436" max="7436" width="10.1" style="1366" customWidth="1"/>
    <col min="7437" max="7437" width="23" style="1366" customWidth="1"/>
    <col min="7438" max="7438" width="12.4" style="1366" customWidth="1"/>
    <col min="7439" max="7439" width="16.4" style="1366" customWidth="1"/>
    <col min="7440" max="7441" width="8.6" style="1366" customWidth="1"/>
    <col min="7442" max="7442" width="9.9" style="1366" customWidth="1"/>
    <col min="7443" max="7443" width="18.6" style="1366" customWidth="1"/>
    <col min="7444" max="7679" width="9" style="1366"/>
    <col min="7680" max="7680" width="13.1" style="1366" customWidth="1"/>
    <col min="7681" max="7681" width="13.4" style="1366" customWidth="1"/>
    <col min="7682" max="7682" width="16.4" style="1366" customWidth="1"/>
    <col min="7683" max="7683" width="9.6" style="1366" customWidth="1"/>
    <col min="7684" max="7684" width="11.4" style="1366" customWidth="1"/>
    <col min="7685" max="7685" width="9.6" style="1366" customWidth="1"/>
    <col min="7686" max="7688" width="16.4" style="1366" customWidth="1"/>
    <col min="7689" max="7689" width="1.4" style="1366" customWidth="1"/>
    <col min="7690" max="7690" width="12.6" style="1366" customWidth="1"/>
    <col min="7691" max="7691" width="15.1" style="1366" customWidth="1"/>
    <col min="7692" max="7692" width="10.1" style="1366" customWidth="1"/>
    <col min="7693" max="7693" width="23" style="1366" customWidth="1"/>
    <col min="7694" max="7694" width="12.4" style="1366" customWidth="1"/>
    <col min="7695" max="7695" width="16.4" style="1366" customWidth="1"/>
    <col min="7696" max="7697" width="8.6" style="1366" customWidth="1"/>
    <col min="7698" max="7698" width="9.9" style="1366" customWidth="1"/>
    <col min="7699" max="7699" width="18.6" style="1366" customWidth="1"/>
    <col min="7700" max="7935" width="9" style="1366"/>
    <col min="7936" max="7936" width="13.1" style="1366" customWidth="1"/>
    <col min="7937" max="7937" width="13.4" style="1366" customWidth="1"/>
    <col min="7938" max="7938" width="16.4" style="1366" customWidth="1"/>
    <col min="7939" max="7939" width="9.6" style="1366" customWidth="1"/>
    <col min="7940" max="7940" width="11.4" style="1366" customWidth="1"/>
    <col min="7941" max="7941" width="9.6" style="1366" customWidth="1"/>
    <col min="7942" max="7944" width="16.4" style="1366" customWidth="1"/>
    <col min="7945" max="7945" width="1.4" style="1366" customWidth="1"/>
    <col min="7946" max="7946" width="12.6" style="1366" customWidth="1"/>
    <col min="7947" max="7947" width="15.1" style="1366" customWidth="1"/>
    <col min="7948" max="7948" width="10.1" style="1366" customWidth="1"/>
    <col min="7949" max="7949" width="23" style="1366" customWidth="1"/>
    <col min="7950" max="7950" width="12.4" style="1366" customWidth="1"/>
    <col min="7951" max="7951" width="16.4" style="1366" customWidth="1"/>
    <col min="7952" max="7953" width="8.6" style="1366" customWidth="1"/>
    <col min="7954" max="7954" width="9.9" style="1366" customWidth="1"/>
    <col min="7955" max="7955" width="18.6" style="1366" customWidth="1"/>
    <col min="7956" max="8191" width="9" style="1366"/>
    <col min="8192" max="8192" width="13.1" style="1366" customWidth="1"/>
    <col min="8193" max="8193" width="13.4" style="1366" customWidth="1"/>
    <col min="8194" max="8194" width="16.4" style="1366" customWidth="1"/>
    <col min="8195" max="8195" width="9.6" style="1366" customWidth="1"/>
    <col min="8196" max="8196" width="11.4" style="1366" customWidth="1"/>
    <col min="8197" max="8197" width="9.6" style="1366" customWidth="1"/>
    <col min="8198" max="8200" width="16.4" style="1366" customWidth="1"/>
    <col min="8201" max="8201" width="1.4" style="1366" customWidth="1"/>
    <col min="8202" max="8202" width="12.6" style="1366" customWidth="1"/>
    <col min="8203" max="8203" width="15.1" style="1366" customWidth="1"/>
    <col min="8204" max="8204" width="10.1" style="1366" customWidth="1"/>
    <col min="8205" max="8205" width="23" style="1366" customWidth="1"/>
    <col min="8206" max="8206" width="12.4" style="1366" customWidth="1"/>
    <col min="8207" max="8207" width="16.4" style="1366" customWidth="1"/>
    <col min="8208" max="8209" width="8.6" style="1366" customWidth="1"/>
    <col min="8210" max="8210" width="9.9" style="1366" customWidth="1"/>
    <col min="8211" max="8211" width="18.6" style="1366" customWidth="1"/>
    <col min="8212" max="8447" width="9" style="1366"/>
    <col min="8448" max="8448" width="13.1" style="1366" customWidth="1"/>
    <col min="8449" max="8449" width="13.4" style="1366" customWidth="1"/>
    <col min="8450" max="8450" width="16.4" style="1366" customWidth="1"/>
    <col min="8451" max="8451" width="9.6" style="1366" customWidth="1"/>
    <col min="8452" max="8452" width="11.4" style="1366" customWidth="1"/>
    <col min="8453" max="8453" width="9.6" style="1366" customWidth="1"/>
    <col min="8454" max="8456" width="16.4" style="1366" customWidth="1"/>
    <col min="8457" max="8457" width="1.4" style="1366" customWidth="1"/>
    <col min="8458" max="8458" width="12.6" style="1366" customWidth="1"/>
    <col min="8459" max="8459" width="15.1" style="1366" customWidth="1"/>
    <col min="8460" max="8460" width="10.1" style="1366" customWidth="1"/>
    <col min="8461" max="8461" width="23" style="1366" customWidth="1"/>
    <col min="8462" max="8462" width="12.4" style="1366" customWidth="1"/>
    <col min="8463" max="8463" width="16.4" style="1366" customWidth="1"/>
    <col min="8464" max="8465" width="8.6" style="1366" customWidth="1"/>
    <col min="8466" max="8466" width="9.9" style="1366" customWidth="1"/>
    <col min="8467" max="8467" width="18.6" style="1366" customWidth="1"/>
    <col min="8468" max="8703" width="9" style="1366"/>
    <col min="8704" max="8704" width="13.1" style="1366" customWidth="1"/>
    <col min="8705" max="8705" width="13.4" style="1366" customWidth="1"/>
    <col min="8706" max="8706" width="16.4" style="1366" customWidth="1"/>
    <col min="8707" max="8707" width="9.6" style="1366" customWidth="1"/>
    <col min="8708" max="8708" width="11.4" style="1366" customWidth="1"/>
    <col min="8709" max="8709" width="9.6" style="1366" customWidth="1"/>
    <col min="8710" max="8712" width="16.4" style="1366" customWidth="1"/>
    <col min="8713" max="8713" width="1.4" style="1366" customWidth="1"/>
    <col min="8714" max="8714" width="12.6" style="1366" customWidth="1"/>
    <col min="8715" max="8715" width="15.1" style="1366" customWidth="1"/>
    <col min="8716" max="8716" width="10.1" style="1366" customWidth="1"/>
    <col min="8717" max="8717" width="23" style="1366" customWidth="1"/>
    <col min="8718" max="8718" width="12.4" style="1366" customWidth="1"/>
    <col min="8719" max="8719" width="16.4" style="1366" customWidth="1"/>
    <col min="8720" max="8721" width="8.6" style="1366" customWidth="1"/>
    <col min="8722" max="8722" width="9.9" style="1366" customWidth="1"/>
    <col min="8723" max="8723" width="18.6" style="1366" customWidth="1"/>
    <col min="8724" max="8959" width="9" style="1366"/>
    <col min="8960" max="8960" width="13.1" style="1366" customWidth="1"/>
    <col min="8961" max="8961" width="13.4" style="1366" customWidth="1"/>
    <col min="8962" max="8962" width="16.4" style="1366" customWidth="1"/>
    <col min="8963" max="8963" width="9.6" style="1366" customWidth="1"/>
    <col min="8964" max="8964" width="11.4" style="1366" customWidth="1"/>
    <col min="8965" max="8965" width="9.6" style="1366" customWidth="1"/>
    <col min="8966" max="8968" width="16.4" style="1366" customWidth="1"/>
    <col min="8969" max="8969" width="1.4" style="1366" customWidth="1"/>
    <col min="8970" max="8970" width="12.6" style="1366" customWidth="1"/>
    <col min="8971" max="8971" width="15.1" style="1366" customWidth="1"/>
    <col min="8972" max="8972" width="10.1" style="1366" customWidth="1"/>
    <col min="8973" max="8973" width="23" style="1366" customWidth="1"/>
    <col min="8974" max="8974" width="12.4" style="1366" customWidth="1"/>
    <col min="8975" max="8975" width="16.4" style="1366" customWidth="1"/>
    <col min="8976" max="8977" width="8.6" style="1366" customWidth="1"/>
    <col min="8978" max="8978" width="9.9" style="1366" customWidth="1"/>
    <col min="8979" max="8979" width="18.6" style="1366" customWidth="1"/>
    <col min="8980" max="9215" width="9" style="1366"/>
    <col min="9216" max="9216" width="13.1" style="1366" customWidth="1"/>
    <col min="9217" max="9217" width="13.4" style="1366" customWidth="1"/>
    <col min="9218" max="9218" width="16.4" style="1366" customWidth="1"/>
    <col min="9219" max="9219" width="9.6" style="1366" customWidth="1"/>
    <col min="9220" max="9220" width="11.4" style="1366" customWidth="1"/>
    <col min="9221" max="9221" width="9.6" style="1366" customWidth="1"/>
    <col min="9222" max="9224" width="16.4" style="1366" customWidth="1"/>
    <col min="9225" max="9225" width="1.4" style="1366" customWidth="1"/>
    <col min="9226" max="9226" width="12.6" style="1366" customWidth="1"/>
    <col min="9227" max="9227" width="15.1" style="1366" customWidth="1"/>
    <col min="9228" max="9228" width="10.1" style="1366" customWidth="1"/>
    <col min="9229" max="9229" width="23" style="1366" customWidth="1"/>
    <col min="9230" max="9230" width="12.4" style="1366" customWidth="1"/>
    <col min="9231" max="9231" width="16.4" style="1366" customWidth="1"/>
    <col min="9232" max="9233" width="8.6" style="1366" customWidth="1"/>
    <col min="9234" max="9234" width="9.9" style="1366" customWidth="1"/>
    <col min="9235" max="9235" width="18.6" style="1366" customWidth="1"/>
    <col min="9236" max="9471" width="9" style="1366"/>
    <col min="9472" max="9472" width="13.1" style="1366" customWidth="1"/>
    <col min="9473" max="9473" width="13.4" style="1366" customWidth="1"/>
    <col min="9474" max="9474" width="16.4" style="1366" customWidth="1"/>
    <col min="9475" max="9475" width="9.6" style="1366" customWidth="1"/>
    <col min="9476" max="9476" width="11.4" style="1366" customWidth="1"/>
    <col min="9477" max="9477" width="9.6" style="1366" customWidth="1"/>
    <col min="9478" max="9480" width="16.4" style="1366" customWidth="1"/>
    <col min="9481" max="9481" width="1.4" style="1366" customWidth="1"/>
    <col min="9482" max="9482" width="12.6" style="1366" customWidth="1"/>
    <col min="9483" max="9483" width="15.1" style="1366" customWidth="1"/>
    <col min="9484" max="9484" width="10.1" style="1366" customWidth="1"/>
    <col min="9485" max="9485" width="23" style="1366" customWidth="1"/>
    <col min="9486" max="9486" width="12.4" style="1366" customWidth="1"/>
    <col min="9487" max="9487" width="16.4" style="1366" customWidth="1"/>
    <col min="9488" max="9489" width="8.6" style="1366" customWidth="1"/>
    <col min="9490" max="9490" width="9.9" style="1366" customWidth="1"/>
    <col min="9491" max="9491" width="18.6" style="1366" customWidth="1"/>
    <col min="9492" max="9727" width="9" style="1366"/>
    <col min="9728" max="9728" width="13.1" style="1366" customWidth="1"/>
    <col min="9729" max="9729" width="13.4" style="1366" customWidth="1"/>
    <col min="9730" max="9730" width="16.4" style="1366" customWidth="1"/>
    <col min="9731" max="9731" width="9.6" style="1366" customWidth="1"/>
    <col min="9732" max="9732" width="11.4" style="1366" customWidth="1"/>
    <col min="9733" max="9733" width="9.6" style="1366" customWidth="1"/>
    <col min="9734" max="9736" width="16.4" style="1366" customWidth="1"/>
    <col min="9737" max="9737" width="1.4" style="1366" customWidth="1"/>
    <col min="9738" max="9738" width="12.6" style="1366" customWidth="1"/>
    <col min="9739" max="9739" width="15.1" style="1366" customWidth="1"/>
    <col min="9740" max="9740" width="10.1" style="1366" customWidth="1"/>
    <col min="9741" max="9741" width="23" style="1366" customWidth="1"/>
    <col min="9742" max="9742" width="12.4" style="1366" customWidth="1"/>
    <col min="9743" max="9743" width="16.4" style="1366" customWidth="1"/>
    <col min="9744" max="9745" width="8.6" style="1366" customWidth="1"/>
    <col min="9746" max="9746" width="9.9" style="1366" customWidth="1"/>
    <col min="9747" max="9747" width="18.6" style="1366" customWidth="1"/>
    <col min="9748" max="9983" width="9" style="1366"/>
    <col min="9984" max="9984" width="13.1" style="1366" customWidth="1"/>
    <col min="9985" max="9985" width="13.4" style="1366" customWidth="1"/>
    <col min="9986" max="9986" width="16.4" style="1366" customWidth="1"/>
    <col min="9987" max="9987" width="9.6" style="1366" customWidth="1"/>
    <col min="9988" max="9988" width="11.4" style="1366" customWidth="1"/>
    <col min="9989" max="9989" width="9.6" style="1366" customWidth="1"/>
    <col min="9990" max="9992" width="16.4" style="1366" customWidth="1"/>
    <col min="9993" max="9993" width="1.4" style="1366" customWidth="1"/>
    <col min="9994" max="9994" width="12.6" style="1366" customWidth="1"/>
    <col min="9995" max="9995" width="15.1" style="1366" customWidth="1"/>
    <col min="9996" max="9996" width="10.1" style="1366" customWidth="1"/>
    <col min="9997" max="9997" width="23" style="1366" customWidth="1"/>
    <col min="9998" max="9998" width="12.4" style="1366" customWidth="1"/>
    <col min="9999" max="9999" width="16.4" style="1366" customWidth="1"/>
    <col min="10000" max="10001" width="8.6" style="1366" customWidth="1"/>
    <col min="10002" max="10002" width="9.9" style="1366" customWidth="1"/>
    <col min="10003" max="10003" width="18.6" style="1366" customWidth="1"/>
    <col min="10004" max="10239" width="9" style="1366"/>
    <col min="10240" max="10240" width="13.1" style="1366" customWidth="1"/>
    <col min="10241" max="10241" width="13.4" style="1366" customWidth="1"/>
    <col min="10242" max="10242" width="16.4" style="1366" customWidth="1"/>
    <col min="10243" max="10243" width="9.6" style="1366" customWidth="1"/>
    <col min="10244" max="10244" width="11.4" style="1366" customWidth="1"/>
    <col min="10245" max="10245" width="9.6" style="1366" customWidth="1"/>
    <col min="10246" max="10248" width="16.4" style="1366" customWidth="1"/>
    <col min="10249" max="10249" width="1.4" style="1366" customWidth="1"/>
    <col min="10250" max="10250" width="12.6" style="1366" customWidth="1"/>
    <col min="10251" max="10251" width="15.1" style="1366" customWidth="1"/>
    <col min="10252" max="10252" width="10.1" style="1366" customWidth="1"/>
    <col min="10253" max="10253" width="23" style="1366" customWidth="1"/>
    <col min="10254" max="10254" width="12.4" style="1366" customWidth="1"/>
    <col min="10255" max="10255" width="16.4" style="1366" customWidth="1"/>
    <col min="10256" max="10257" width="8.6" style="1366" customWidth="1"/>
    <col min="10258" max="10258" width="9.9" style="1366" customWidth="1"/>
    <col min="10259" max="10259" width="18.6" style="1366" customWidth="1"/>
    <col min="10260" max="10495" width="9" style="1366"/>
    <col min="10496" max="10496" width="13.1" style="1366" customWidth="1"/>
    <col min="10497" max="10497" width="13.4" style="1366" customWidth="1"/>
    <col min="10498" max="10498" width="16.4" style="1366" customWidth="1"/>
    <col min="10499" max="10499" width="9.6" style="1366" customWidth="1"/>
    <col min="10500" max="10500" width="11.4" style="1366" customWidth="1"/>
    <col min="10501" max="10501" width="9.6" style="1366" customWidth="1"/>
    <col min="10502" max="10504" width="16.4" style="1366" customWidth="1"/>
    <col min="10505" max="10505" width="1.4" style="1366" customWidth="1"/>
    <col min="10506" max="10506" width="12.6" style="1366" customWidth="1"/>
    <col min="10507" max="10507" width="15.1" style="1366" customWidth="1"/>
    <col min="10508" max="10508" width="10.1" style="1366" customWidth="1"/>
    <col min="10509" max="10509" width="23" style="1366" customWidth="1"/>
    <col min="10510" max="10510" width="12.4" style="1366" customWidth="1"/>
    <col min="10511" max="10511" width="16.4" style="1366" customWidth="1"/>
    <col min="10512" max="10513" width="8.6" style="1366" customWidth="1"/>
    <col min="10514" max="10514" width="9.9" style="1366" customWidth="1"/>
    <col min="10515" max="10515" width="18.6" style="1366" customWidth="1"/>
    <col min="10516" max="10751" width="9" style="1366"/>
    <col min="10752" max="10752" width="13.1" style="1366" customWidth="1"/>
    <col min="10753" max="10753" width="13.4" style="1366" customWidth="1"/>
    <col min="10754" max="10754" width="16.4" style="1366" customWidth="1"/>
    <col min="10755" max="10755" width="9.6" style="1366" customWidth="1"/>
    <col min="10756" max="10756" width="11.4" style="1366" customWidth="1"/>
    <col min="10757" max="10757" width="9.6" style="1366" customWidth="1"/>
    <col min="10758" max="10760" width="16.4" style="1366" customWidth="1"/>
    <col min="10761" max="10761" width="1.4" style="1366" customWidth="1"/>
    <col min="10762" max="10762" width="12.6" style="1366" customWidth="1"/>
    <col min="10763" max="10763" width="15.1" style="1366" customWidth="1"/>
    <col min="10764" max="10764" width="10.1" style="1366" customWidth="1"/>
    <col min="10765" max="10765" width="23" style="1366" customWidth="1"/>
    <col min="10766" max="10766" width="12.4" style="1366" customWidth="1"/>
    <col min="10767" max="10767" width="16.4" style="1366" customWidth="1"/>
    <col min="10768" max="10769" width="8.6" style="1366" customWidth="1"/>
    <col min="10770" max="10770" width="9.9" style="1366" customWidth="1"/>
    <col min="10771" max="10771" width="18.6" style="1366" customWidth="1"/>
    <col min="10772" max="11007" width="9" style="1366"/>
    <col min="11008" max="11008" width="13.1" style="1366" customWidth="1"/>
    <col min="11009" max="11009" width="13.4" style="1366" customWidth="1"/>
    <col min="11010" max="11010" width="16.4" style="1366" customWidth="1"/>
    <col min="11011" max="11011" width="9.6" style="1366" customWidth="1"/>
    <col min="11012" max="11012" width="11.4" style="1366" customWidth="1"/>
    <col min="11013" max="11013" width="9.6" style="1366" customWidth="1"/>
    <col min="11014" max="11016" width="16.4" style="1366" customWidth="1"/>
    <col min="11017" max="11017" width="1.4" style="1366" customWidth="1"/>
    <col min="11018" max="11018" width="12.6" style="1366" customWidth="1"/>
    <col min="11019" max="11019" width="15.1" style="1366" customWidth="1"/>
    <col min="11020" max="11020" width="10.1" style="1366" customWidth="1"/>
    <col min="11021" max="11021" width="23" style="1366" customWidth="1"/>
    <col min="11022" max="11022" width="12.4" style="1366" customWidth="1"/>
    <col min="11023" max="11023" width="16.4" style="1366" customWidth="1"/>
    <col min="11024" max="11025" width="8.6" style="1366" customWidth="1"/>
    <col min="11026" max="11026" width="9.9" style="1366" customWidth="1"/>
    <col min="11027" max="11027" width="18.6" style="1366" customWidth="1"/>
    <col min="11028" max="11263" width="9" style="1366"/>
    <col min="11264" max="11264" width="13.1" style="1366" customWidth="1"/>
    <col min="11265" max="11265" width="13.4" style="1366" customWidth="1"/>
    <col min="11266" max="11266" width="16.4" style="1366" customWidth="1"/>
    <col min="11267" max="11267" width="9.6" style="1366" customWidth="1"/>
    <col min="11268" max="11268" width="11.4" style="1366" customWidth="1"/>
    <col min="11269" max="11269" width="9.6" style="1366" customWidth="1"/>
    <col min="11270" max="11272" width="16.4" style="1366" customWidth="1"/>
    <col min="11273" max="11273" width="1.4" style="1366" customWidth="1"/>
    <col min="11274" max="11274" width="12.6" style="1366" customWidth="1"/>
    <col min="11275" max="11275" width="15.1" style="1366" customWidth="1"/>
    <col min="11276" max="11276" width="10.1" style="1366" customWidth="1"/>
    <col min="11277" max="11277" width="23" style="1366" customWidth="1"/>
    <col min="11278" max="11278" width="12.4" style="1366" customWidth="1"/>
    <col min="11279" max="11279" width="16.4" style="1366" customWidth="1"/>
    <col min="11280" max="11281" width="8.6" style="1366" customWidth="1"/>
    <col min="11282" max="11282" width="9.9" style="1366" customWidth="1"/>
    <col min="11283" max="11283" width="18.6" style="1366" customWidth="1"/>
    <col min="11284" max="11519" width="9" style="1366"/>
    <col min="11520" max="11520" width="13.1" style="1366" customWidth="1"/>
    <col min="11521" max="11521" width="13.4" style="1366" customWidth="1"/>
    <col min="11522" max="11522" width="16.4" style="1366" customWidth="1"/>
    <col min="11523" max="11523" width="9.6" style="1366" customWidth="1"/>
    <col min="11524" max="11524" width="11.4" style="1366" customWidth="1"/>
    <col min="11525" max="11525" width="9.6" style="1366" customWidth="1"/>
    <col min="11526" max="11528" width="16.4" style="1366" customWidth="1"/>
    <col min="11529" max="11529" width="1.4" style="1366" customWidth="1"/>
    <col min="11530" max="11530" width="12.6" style="1366" customWidth="1"/>
    <col min="11531" max="11531" width="15.1" style="1366" customWidth="1"/>
    <col min="11532" max="11532" width="10.1" style="1366" customWidth="1"/>
    <col min="11533" max="11533" width="23" style="1366" customWidth="1"/>
    <col min="11534" max="11534" width="12.4" style="1366" customWidth="1"/>
    <col min="11535" max="11535" width="16.4" style="1366" customWidth="1"/>
    <col min="11536" max="11537" width="8.6" style="1366" customWidth="1"/>
    <col min="11538" max="11538" width="9.9" style="1366" customWidth="1"/>
    <col min="11539" max="11539" width="18.6" style="1366" customWidth="1"/>
    <col min="11540" max="11775" width="9" style="1366"/>
    <col min="11776" max="11776" width="13.1" style="1366" customWidth="1"/>
    <col min="11777" max="11777" width="13.4" style="1366" customWidth="1"/>
    <col min="11778" max="11778" width="16.4" style="1366" customWidth="1"/>
    <col min="11779" max="11779" width="9.6" style="1366" customWidth="1"/>
    <col min="11780" max="11780" width="11.4" style="1366" customWidth="1"/>
    <col min="11781" max="11781" width="9.6" style="1366" customWidth="1"/>
    <col min="11782" max="11784" width="16.4" style="1366" customWidth="1"/>
    <col min="11785" max="11785" width="1.4" style="1366" customWidth="1"/>
    <col min="11786" max="11786" width="12.6" style="1366" customWidth="1"/>
    <col min="11787" max="11787" width="15.1" style="1366" customWidth="1"/>
    <col min="11788" max="11788" width="10.1" style="1366" customWidth="1"/>
    <col min="11789" max="11789" width="23" style="1366" customWidth="1"/>
    <col min="11790" max="11790" width="12.4" style="1366" customWidth="1"/>
    <col min="11791" max="11791" width="16.4" style="1366" customWidth="1"/>
    <col min="11792" max="11793" width="8.6" style="1366" customWidth="1"/>
    <col min="11794" max="11794" width="9.9" style="1366" customWidth="1"/>
    <col min="11795" max="11795" width="18.6" style="1366" customWidth="1"/>
    <col min="11796" max="12031" width="9" style="1366"/>
    <col min="12032" max="12032" width="13.1" style="1366" customWidth="1"/>
    <col min="12033" max="12033" width="13.4" style="1366" customWidth="1"/>
    <col min="12034" max="12034" width="16.4" style="1366" customWidth="1"/>
    <col min="12035" max="12035" width="9.6" style="1366" customWidth="1"/>
    <col min="12036" max="12036" width="11.4" style="1366" customWidth="1"/>
    <col min="12037" max="12037" width="9.6" style="1366" customWidth="1"/>
    <col min="12038" max="12040" width="16.4" style="1366" customWidth="1"/>
    <col min="12041" max="12041" width="1.4" style="1366" customWidth="1"/>
    <col min="12042" max="12042" width="12.6" style="1366" customWidth="1"/>
    <col min="12043" max="12043" width="15.1" style="1366" customWidth="1"/>
    <col min="12044" max="12044" width="10.1" style="1366" customWidth="1"/>
    <col min="12045" max="12045" width="23" style="1366" customWidth="1"/>
    <col min="12046" max="12046" width="12.4" style="1366" customWidth="1"/>
    <col min="12047" max="12047" width="16.4" style="1366" customWidth="1"/>
    <col min="12048" max="12049" width="8.6" style="1366" customWidth="1"/>
    <col min="12050" max="12050" width="9.9" style="1366" customWidth="1"/>
    <col min="12051" max="12051" width="18.6" style="1366" customWidth="1"/>
    <col min="12052" max="12287" width="9" style="1366"/>
    <col min="12288" max="12288" width="13.1" style="1366" customWidth="1"/>
    <col min="12289" max="12289" width="13.4" style="1366" customWidth="1"/>
    <col min="12290" max="12290" width="16.4" style="1366" customWidth="1"/>
    <col min="12291" max="12291" width="9.6" style="1366" customWidth="1"/>
    <col min="12292" max="12292" width="11.4" style="1366" customWidth="1"/>
    <col min="12293" max="12293" width="9.6" style="1366" customWidth="1"/>
    <col min="12294" max="12296" width="16.4" style="1366" customWidth="1"/>
    <col min="12297" max="12297" width="1.4" style="1366" customWidth="1"/>
    <col min="12298" max="12298" width="12.6" style="1366" customWidth="1"/>
    <col min="12299" max="12299" width="15.1" style="1366" customWidth="1"/>
    <col min="12300" max="12300" width="10.1" style="1366" customWidth="1"/>
    <col min="12301" max="12301" width="23" style="1366" customWidth="1"/>
    <col min="12302" max="12302" width="12.4" style="1366" customWidth="1"/>
    <col min="12303" max="12303" width="16.4" style="1366" customWidth="1"/>
    <col min="12304" max="12305" width="8.6" style="1366" customWidth="1"/>
    <col min="12306" max="12306" width="9.9" style="1366" customWidth="1"/>
    <col min="12307" max="12307" width="18.6" style="1366" customWidth="1"/>
    <col min="12308" max="12543" width="9" style="1366"/>
    <col min="12544" max="12544" width="13.1" style="1366" customWidth="1"/>
    <col min="12545" max="12545" width="13.4" style="1366" customWidth="1"/>
    <col min="12546" max="12546" width="16.4" style="1366" customWidth="1"/>
    <col min="12547" max="12547" width="9.6" style="1366" customWidth="1"/>
    <col min="12548" max="12548" width="11.4" style="1366" customWidth="1"/>
    <col min="12549" max="12549" width="9.6" style="1366" customWidth="1"/>
    <col min="12550" max="12552" width="16.4" style="1366" customWidth="1"/>
    <col min="12553" max="12553" width="1.4" style="1366" customWidth="1"/>
    <col min="12554" max="12554" width="12.6" style="1366" customWidth="1"/>
    <col min="12555" max="12555" width="15.1" style="1366" customWidth="1"/>
    <col min="12556" max="12556" width="10.1" style="1366" customWidth="1"/>
    <col min="12557" max="12557" width="23" style="1366" customWidth="1"/>
    <col min="12558" max="12558" width="12.4" style="1366" customWidth="1"/>
    <col min="12559" max="12559" width="16.4" style="1366" customWidth="1"/>
    <col min="12560" max="12561" width="8.6" style="1366" customWidth="1"/>
    <col min="12562" max="12562" width="9.9" style="1366" customWidth="1"/>
    <col min="12563" max="12563" width="18.6" style="1366" customWidth="1"/>
    <col min="12564" max="12799" width="9" style="1366"/>
    <col min="12800" max="12800" width="13.1" style="1366" customWidth="1"/>
    <col min="12801" max="12801" width="13.4" style="1366" customWidth="1"/>
    <col min="12802" max="12802" width="16.4" style="1366" customWidth="1"/>
    <col min="12803" max="12803" width="9.6" style="1366" customWidth="1"/>
    <col min="12804" max="12804" width="11.4" style="1366" customWidth="1"/>
    <col min="12805" max="12805" width="9.6" style="1366" customWidth="1"/>
    <col min="12806" max="12808" width="16.4" style="1366" customWidth="1"/>
    <col min="12809" max="12809" width="1.4" style="1366" customWidth="1"/>
    <col min="12810" max="12810" width="12.6" style="1366" customWidth="1"/>
    <col min="12811" max="12811" width="15.1" style="1366" customWidth="1"/>
    <col min="12812" max="12812" width="10.1" style="1366" customWidth="1"/>
    <col min="12813" max="12813" width="23" style="1366" customWidth="1"/>
    <col min="12814" max="12814" width="12.4" style="1366" customWidth="1"/>
    <col min="12815" max="12815" width="16.4" style="1366" customWidth="1"/>
    <col min="12816" max="12817" width="8.6" style="1366" customWidth="1"/>
    <col min="12818" max="12818" width="9.9" style="1366" customWidth="1"/>
    <col min="12819" max="12819" width="18.6" style="1366" customWidth="1"/>
    <col min="12820" max="13055" width="9" style="1366"/>
    <col min="13056" max="13056" width="13.1" style="1366" customWidth="1"/>
    <col min="13057" max="13057" width="13.4" style="1366" customWidth="1"/>
    <col min="13058" max="13058" width="16.4" style="1366" customWidth="1"/>
    <col min="13059" max="13059" width="9.6" style="1366" customWidth="1"/>
    <col min="13060" max="13060" width="11.4" style="1366" customWidth="1"/>
    <col min="13061" max="13061" width="9.6" style="1366" customWidth="1"/>
    <col min="13062" max="13064" width="16.4" style="1366" customWidth="1"/>
    <col min="13065" max="13065" width="1.4" style="1366" customWidth="1"/>
    <col min="13066" max="13066" width="12.6" style="1366" customWidth="1"/>
    <col min="13067" max="13067" width="15.1" style="1366" customWidth="1"/>
    <col min="13068" max="13068" width="10.1" style="1366" customWidth="1"/>
    <col min="13069" max="13069" width="23" style="1366" customWidth="1"/>
    <col min="13070" max="13070" width="12.4" style="1366" customWidth="1"/>
    <col min="13071" max="13071" width="16.4" style="1366" customWidth="1"/>
    <col min="13072" max="13073" width="8.6" style="1366" customWidth="1"/>
    <col min="13074" max="13074" width="9.9" style="1366" customWidth="1"/>
    <col min="13075" max="13075" width="18.6" style="1366" customWidth="1"/>
    <col min="13076" max="13311" width="9" style="1366"/>
    <col min="13312" max="13312" width="13.1" style="1366" customWidth="1"/>
    <col min="13313" max="13313" width="13.4" style="1366" customWidth="1"/>
    <col min="13314" max="13314" width="16.4" style="1366" customWidth="1"/>
    <col min="13315" max="13315" width="9.6" style="1366" customWidth="1"/>
    <col min="13316" max="13316" width="11.4" style="1366" customWidth="1"/>
    <col min="13317" max="13317" width="9.6" style="1366" customWidth="1"/>
    <col min="13318" max="13320" width="16.4" style="1366" customWidth="1"/>
    <col min="13321" max="13321" width="1.4" style="1366" customWidth="1"/>
    <col min="13322" max="13322" width="12.6" style="1366" customWidth="1"/>
    <col min="13323" max="13323" width="15.1" style="1366" customWidth="1"/>
    <col min="13324" max="13324" width="10.1" style="1366" customWidth="1"/>
    <col min="13325" max="13325" width="23" style="1366" customWidth="1"/>
    <col min="13326" max="13326" width="12.4" style="1366" customWidth="1"/>
    <col min="13327" max="13327" width="16.4" style="1366" customWidth="1"/>
    <col min="13328" max="13329" width="8.6" style="1366" customWidth="1"/>
    <col min="13330" max="13330" width="9.9" style="1366" customWidth="1"/>
    <col min="13331" max="13331" width="18.6" style="1366" customWidth="1"/>
    <col min="13332" max="13567" width="9" style="1366"/>
    <col min="13568" max="13568" width="13.1" style="1366" customWidth="1"/>
    <col min="13569" max="13569" width="13.4" style="1366" customWidth="1"/>
    <col min="13570" max="13570" width="16.4" style="1366" customWidth="1"/>
    <col min="13571" max="13571" width="9.6" style="1366" customWidth="1"/>
    <col min="13572" max="13572" width="11.4" style="1366" customWidth="1"/>
    <col min="13573" max="13573" width="9.6" style="1366" customWidth="1"/>
    <col min="13574" max="13576" width="16.4" style="1366" customWidth="1"/>
    <col min="13577" max="13577" width="1.4" style="1366" customWidth="1"/>
    <col min="13578" max="13578" width="12.6" style="1366" customWidth="1"/>
    <col min="13579" max="13579" width="15.1" style="1366" customWidth="1"/>
    <col min="13580" max="13580" width="10.1" style="1366" customWidth="1"/>
    <col min="13581" max="13581" width="23" style="1366" customWidth="1"/>
    <col min="13582" max="13582" width="12.4" style="1366" customWidth="1"/>
    <col min="13583" max="13583" width="16.4" style="1366" customWidth="1"/>
    <col min="13584" max="13585" width="8.6" style="1366" customWidth="1"/>
    <col min="13586" max="13586" width="9.9" style="1366" customWidth="1"/>
    <col min="13587" max="13587" width="18.6" style="1366" customWidth="1"/>
    <col min="13588" max="13823" width="9" style="1366"/>
    <col min="13824" max="13824" width="13.1" style="1366" customWidth="1"/>
    <col min="13825" max="13825" width="13.4" style="1366" customWidth="1"/>
    <col min="13826" max="13826" width="16.4" style="1366" customWidth="1"/>
    <col min="13827" max="13827" width="9.6" style="1366" customWidth="1"/>
    <col min="13828" max="13828" width="11.4" style="1366" customWidth="1"/>
    <col min="13829" max="13829" width="9.6" style="1366" customWidth="1"/>
    <col min="13830" max="13832" width="16.4" style="1366" customWidth="1"/>
    <col min="13833" max="13833" width="1.4" style="1366" customWidth="1"/>
    <col min="13834" max="13834" width="12.6" style="1366" customWidth="1"/>
    <col min="13835" max="13835" width="15.1" style="1366" customWidth="1"/>
    <col min="13836" max="13836" width="10.1" style="1366" customWidth="1"/>
    <col min="13837" max="13837" width="23" style="1366" customWidth="1"/>
    <col min="13838" max="13838" width="12.4" style="1366" customWidth="1"/>
    <col min="13839" max="13839" width="16.4" style="1366" customWidth="1"/>
    <col min="13840" max="13841" width="8.6" style="1366" customWidth="1"/>
    <col min="13842" max="13842" width="9.9" style="1366" customWidth="1"/>
    <col min="13843" max="13843" width="18.6" style="1366" customWidth="1"/>
    <col min="13844" max="14079" width="9" style="1366"/>
    <col min="14080" max="14080" width="13.1" style="1366" customWidth="1"/>
    <col min="14081" max="14081" width="13.4" style="1366" customWidth="1"/>
    <col min="14082" max="14082" width="16.4" style="1366" customWidth="1"/>
    <col min="14083" max="14083" width="9.6" style="1366" customWidth="1"/>
    <col min="14084" max="14084" width="11.4" style="1366" customWidth="1"/>
    <col min="14085" max="14085" width="9.6" style="1366" customWidth="1"/>
    <col min="14086" max="14088" width="16.4" style="1366" customWidth="1"/>
    <col min="14089" max="14089" width="1.4" style="1366" customWidth="1"/>
    <col min="14090" max="14090" width="12.6" style="1366" customWidth="1"/>
    <col min="14091" max="14091" width="15.1" style="1366" customWidth="1"/>
    <col min="14092" max="14092" width="10.1" style="1366" customWidth="1"/>
    <col min="14093" max="14093" width="23" style="1366" customWidth="1"/>
    <col min="14094" max="14094" width="12.4" style="1366" customWidth="1"/>
    <col min="14095" max="14095" width="16.4" style="1366" customWidth="1"/>
    <col min="14096" max="14097" width="8.6" style="1366" customWidth="1"/>
    <col min="14098" max="14098" width="9.9" style="1366" customWidth="1"/>
    <col min="14099" max="14099" width="18.6" style="1366" customWidth="1"/>
    <col min="14100" max="14335" width="9" style="1366"/>
    <col min="14336" max="14336" width="13.1" style="1366" customWidth="1"/>
    <col min="14337" max="14337" width="13.4" style="1366" customWidth="1"/>
    <col min="14338" max="14338" width="16.4" style="1366" customWidth="1"/>
    <col min="14339" max="14339" width="9.6" style="1366" customWidth="1"/>
    <col min="14340" max="14340" width="11.4" style="1366" customWidth="1"/>
    <col min="14341" max="14341" width="9.6" style="1366" customWidth="1"/>
    <col min="14342" max="14344" width="16.4" style="1366" customWidth="1"/>
    <col min="14345" max="14345" width="1.4" style="1366" customWidth="1"/>
    <col min="14346" max="14346" width="12.6" style="1366" customWidth="1"/>
    <col min="14347" max="14347" width="15.1" style="1366" customWidth="1"/>
    <col min="14348" max="14348" width="10.1" style="1366" customWidth="1"/>
    <col min="14349" max="14349" width="23" style="1366" customWidth="1"/>
    <col min="14350" max="14350" width="12.4" style="1366" customWidth="1"/>
    <col min="14351" max="14351" width="16.4" style="1366" customWidth="1"/>
    <col min="14352" max="14353" width="8.6" style="1366" customWidth="1"/>
    <col min="14354" max="14354" width="9.9" style="1366" customWidth="1"/>
    <col min="14355" max="14355" width="18.6" style="1366" customWidth="1"/>
    <col min="14356" max="14591" width="9" style="1366"/>
    <col min="14592" max="14592" width="13.1" style="1366" customWidth="1"/>
    <col min="14593" max="14593" width="13.4" style="1366" customWidth="1"/>
    <col min="14594" max="14594" width="16.4" style="1366" customWidth="1"/>
    <col min="14595" max="14595" width="9.6" style="1366" customWidth="1"/>
    <col min="14596" max="14596" width="11.4" style="1366" customWidth="1"/>
    <col min="14597" max="14597" width="9.6" style="1366" customWidth="1"/>
    <col min="14598" max="14600" width="16.4" style="1366" customWidth="1"/>
    <col min="14601" max="14601" width="1.4" style="1366" customWidth="1"/>
    <col min="14602" max="14602" width="12.6" style="1366" customWidth="1"/>
    <col min="14603" max="14603" width="15.1" style="1366" customWidth="1"/>
    <col min="14604" max="14604" width="10.1" style="1366" customWidth="1"/>
    <col min="14605" max="14605" width="23" style="1366" customWidth="1"/>
    <col min="14606" max="14606" width="12.4" style="1366" customWidth="1"/>
    <col min="14607" max="14607" width="16.4" style="1366" customWidth="1"/>
    <col min="14608" max="14609" width="8.6" style="1366" customWidth="1"/>
    <col min="14610" max="14610" width="9.9" style="1366" customWidth="1"/>
    <col min="14611" max="14611" width="18.6" style="1366" customWidth="1"/>
    <col min="14612" max="14847" width="9" style="1366"/>
    <col min="14848" max="14848" width="13.1" style="1366" customWidth="1"/>
    <col min="14849" max="14849" width="13.4" style="1366" customWidth="1"/>
    <col min="14850" max="14850" width="16.4" style="1366" customWidth="1"/>
    <col min="14851" max="14851" width="9.6" style="1366" customWidth="1"/>
    <col min="14852" max="14852" width="11.4" style="1366" customWidth="1"/>
    <col min="14853" max="14853" width="9.6" style="1366" customWidth="1"/>
    <col min="14854" max="14856" width="16.4" style="1366" customWidth="1"/>
    <col min="14857" max="14857" width="1.4" style="1366" customWidth="1"/>
    <col min="14858" max="14858" width="12.6" style="1366" customWidth="1"/>
    <col min="14859" max="14859" width="15.1" style="1366" customWidth="1"/>
    <col min="14860" max="14860" width="10.1" style="1366" customWidth="1"/>
    <col min="14861" max="14861" width="23" style="1366" customWidth="1"/>
    <col min="14862" max="14862" width="12.4" style="1366" customWidth="1"/>
    <col min="14863" max="14863" width="16.4" style="1366" customWidth="1"/>
    <col min="14864" max="14865" width="8.6" style="1366" customWidth="1"/>
    <col min="14866" max="14866" width="9.9" style="1366" customWidth="1"/>
    <col min="14867" max="14867" width="18.6" style="1366" customWidth="1"/>
    <col min="14868" max="15103" width="9" style="1366"/>
    <col min="15104" max="15104" width="13.1" style="1366" customWidth="1"/>
    <col min="15105" max="15105" width="13.4" style="1366" customWidth="1"/>
    <col min="15106" max="15106" width="16.4" style="1366" customWidth="1"/>
    <col min="15107" max="15107" width="9.6" style="1366" customWidth="1"/>
    <col min="15108" max="15108" width="11.4" style="1366" customWidth="1"/>
    <col min="15109" max="15109" width="9.6" style="1366" customWidth="1"/>
    <col min="15110" max="15112" width="16.4" style="1366" customWidth="1"/>
    <col min="15113" max="15113" width="1.4" style="1366" customWidth="1"/>
    <col min="15114" max="15114" width="12.6" style="1366" customWidth="1"/>
    <col min="15115" max="15115" width="15.1" style="1366" customWidth="1"/>
    <col min="15116" max="15116" width="10.1" style="1366" customWidth="1"/>
    <col min="15117" max="15117" width="23" style="1366" customWidth="1"/>
    <col min="15118" max="15118" width="12.4" style="1366" customWidth="1"/>
    <col min="15119" max="15119" width="16.4" style="1366" customWidth="1"/>
    <col min="15120" max="15121" width="8.6" style="1366" customWidth="1"/>
    <col min="15122" max="15122" width="9.9" style="1366" customWidth="1"/>
    <col min="15123" max="15123" width="18.6" style="1366" customWidth="1"/>
    <col min="15124" max="15359" width="9" style="1366"/>
    <col min="15360" max="15360" width="13.1" style="1366" customWidth="1"/>
    <col min="15361" max="15361" width="13.4" style="1366" customWidth="1"/>
    <col min="15362" max="15362" width="16.4" style="1366" customWidth="1"/>
    <col min="15363" max="15363" width="9.6" style="1366" customWidth="1"/>
    <col min="15364" max="15364" width="11.4" style="1366" customWidth="1"/>
    <col min="15365" max="15365" width="9.6" style="1366" customWidth="1"/>
    <col min="15366" max="15368" width="16.4" style="1366" customWidth="1"/>
    <col min="15369" max="15369" width="1.4" style="1366" customWidth="1"/>
    <col min="15370" max="15370" width="12.6" style="1366" customWidth="1"/>
    <col min="15371" max="15371" width="15.1" style="1366" customWidth="1"/>
    <col min="15372" max="15372" width="10.1" style="1366" customWidth="1"/>
    <col min="15373" max="15373" width="23" style="1366" customWidth="1"/>
    <col min="15374" max="15374" width="12.4" style="1366" customWidth="1"/>
    <col min="15375" max="15375" width="16.4" style="1366" customWidth="1"/>
    <col min="15376" max="15377" width="8.6" style="1366" customWidth="1"/>
    <col min="15378" max="15378" width="9.9" style="1366" customWidth="1"/>
    <col min="15379" max="15379" width="18.6" style="1366" customWidth="1"/>
    <col min="15380" max="15615" width="9" style="1366"/>
    <col min="15616" max="15616" width="13.1" style="1366" customWidth="1"/>
    <col min="15617" max="15617" width="13.4" style="1366" customWidth="1"/>
    <col min="15618" max="15618" width="16.4" style="1366" customWidth="1"/>
    <col min="15619" max="15619" width="9.6" style="1366" customWidth="1"/>
    <col min="15620" max="15620" width="11.4" style="1366" customWidth="1"/>
    <col min="15621" max="15621" width="9.6" style="1366" customWidth="1"/>
    <col min="15622" max="15624" width="16.4" style="1366" customWidth="1"/>
    <col min="15625" max="15625" width="1.4" style="1366" customWidth="1"/>
    <col min="15626" max="15626" width="12.6" style="1366" customWidth="1"/>
    <col min="15627" max="15627" width="15.1" style="1366" customWidth="1"/>
    <col min="15628" max="15628" width="10.1" style="1366" customWidth="1"/>
    <col min="15629" max="15629" width="23" style="1366" customWidth="1"/>
    <col min="15630" max="15630" width="12.4" style="1366" customWidth="1"/>
    <col min="15631" max="15631" width="16.4" style="1366" customWidth="1"/>
    <col min="15632" max="15633" width="8.6" style="1366" customWidth="1"/>
    <col min="15634" max="15634" width="9.9" style="1366" customWidth="1"/>
    <col min="15635" max="15635" width="18.6" style="1366" customWidth="1"/>
    <col min="15636" max="15871" width="9" style="1366"/>
    <col min="15872" max="15872" width="13.1" style="1366" customWidth="1"/>
    <col min="15873" max="15873" width="13.4" style="1366" customWidth="1"/>
    <col min="15874" max="15874" width="16.4" style="1366" customWidth="1"/>
    <col min="15875" max="15875" width="9.6" style="1366" customWidth="1"/>
    <col min="15876" max="15876" width="11.4" style="1366" customWidth="1"/>
    <col min="15877" max="15877" width="9.6" style="1366" customWidth="1"/>
    <col min="15878" max="15880" width="16.4" style="1366" customWidth="1"/>
    <col min="15881" max="15881" width="1.4" style="1366" customWidth="1"/>
    <col min="15882" max="15882" width="12.6" style="1366" customWidth="1"/>
    <col min="15883" max="15883" width="15.1" style="1366" customWidth="1"/>
    <col min="15884" max="15884" width="10.1" style="1366" customWidth="1"/>
    <col min="15885" max="15885" width="23" style="1366" customWidth="1"/>
    <col min="15886" max="15886" width="12.4" style="1366" customWidth="1"/>
    <col min="15887" max="15887" width="16.4" style="1366" customWidth="1"/>
    <col min="15888" max="15889" width="8.6" style="1366" customWidth="1"/>
    <col min="15890" max="15890" width="9.9" style="1366" customWidth="1"/>
    <col min="15891" max="15891" width="18.6" style="1366" customWidth="1"/>
    <col min="15892" max="16127" width="9" style="1366"/>
    <col min="16128" max="16128" width="13.1" style="1366" customWidth="1"/>
    <col min="16129" max="16129" width="13.4" style="1366" customWidth="1"/>
    <col min="16130" max="16130" width="16.4" style="1366" customWidth="1"/>
    <col min="16131" max="16131" width="9.6" style="1366" customWidth="1"/>
    <col min="16132" max="16132" width="11.4" style="1366" customWidth="1"/>
    <col min="16133" max="16133" width="9.6" style="1366" customWidth="1"/>
    <col min="16134" max="16136" width="16.4" style="1366" customWidth="1"/>
    <col min="16137" max="16137" width="1.4" style="1366" customWidth="1"/>
    <col min="16138" max="16138" width="12.6" style="1366" customWidth="1"/>
    <col min="16139" max="16139" width="15.1" style="1366" customWidth="1"/>
    <col min="16140" max="16140" width="10.1" style="1366" customWidth="1"/>
    <col min="16141" max="16141" width="23" style="1366" customWidth="1"/>
    <col min="16142" max="16142" width="12.4" style="1366" customWidth="1"/>
    <col min="16143" max="16143" width="16.4" style="1366" customWidth="1"/>
    <col min="16144" max="16145" width="8.6" style="1366" customWidth="1"/>
    <col min="16146" max="16146" width="9.9" style="1366" customWidth="1"/>
    <col min="16147" max="16147" width="18.6" style="1366" customWidth="1"/>
    <col min="16148" max="16384" width="9" style="1366"/>
  </cols>
  <sheetData>
    <row r="1" spans="1:14">
      <c r="A1" s="1367"/>
      <c r="B1" s="1368" t="s">
        <v>486</v>
      </c>
      <c r="C1" s="1368" t="s">
        <v>486</v>
      </c>
      <c r="D1" s="1368" t="s">
        <v>486</v>
      </c>
      <c r="E1" s="1368" t="s">
        <v>486</v>
      </c>
      <c r="F1" s="1368" t="s">
        <v>486</v>
      </c>
      <c r="G1" s="1369"/>
      <c r="H1" s="1368" t="s">
        <v>212</v>
      </c>
      <c r="I1" s="1368" t="s">
        <v>212</v>
      </c>
      <c r="J1" s="1368" t="s">
        <v>212</v>
      </c>
      <c r="K1" s="1368" t="s">
        <v>212</v>
      </c>
      <c r="L1" s="1368" t="s">
        <v>212</v>
      </c>
      <c r="M1" s="1368" t="s">
        <v>212</v>
      </c>
      <c r="N1" s="1381" t="s">
        <v>398</v>
      </c>
    </row>
    <row r="2" spans="1:14">
      <c r="A2" s="1367"/>
      <c r="B2" s="1367" t="s">
        <v>202</v>
      </c>
      <c r="C2" s="1367" t="s">
        <v>195</v>
      </c>
      <c r="D2" s="1368" t="s">
        <v>63</v>
      </c>
      <c r="E2" s="1368" t="s">
        <v>245</v>
      </c>
      <c r="F2" s="1367" t="s">
        <v>199</v>
      </c>
      <c r="G2" s="1370"/>
      <c r="H2" s="1367" t="s">
        <v>202</v>
      </c>
      <c r="I2" s="1367" t="s">
        <v>195</v>
      </c>
      <c r="J2" s="1368" t="s">
        <v>63</v>
      </c>
      <c r="K2" s="1368" t="s">
        <v>245</v>
      </c>
      <c r="L2" s="1367" t="s">
        <v>199</v>
      </c>
      <c r="M2" s="1368" t="s">
        <v>2</v>
      </c>
      <c r="N2" s="1382"/>
    </row>
    <row r="3" spans="1:14">
      <c r="A3" s="1367"/>
      <c r="B3" s="1368" t="s">
        <v>487</v>
      </c>
      <c r="C3" s="1368" t="s">
        <v>487</v>
      </c>
      <c r="D3" s="1368" t="s">
        <v>487</v>
      </c>
      <c r="E3" s="1368" t="s">
        <v>487</v>
      </c>
      <c r="F3" s="1368" t="s">
        <v>487</v>
      </c>
      <c r="G3" s="1369"/>
      <c r="H3" s="1368" t="s">
        <v>487</v>
      </c>
      <c r="I3" s="1368" t="s">
        <v>487</v>
      </c>
      <c r="J3" s="1368" t="s">
        <v>487</v>
      </c>
      <c r="K3" s="1368" t="s">
        <v>487</v>
      </c>
      <c r="L3" s="1368" t="s">
        <v>487</v>
      </c>
      <c r="M3" s="1368" t="s">
        <v>487</v>
      </c>
      <c r="N3" s="1382"/>
    </row>
    <row r="4" spans="1:14">
      <c r="A4" s="1371" t="s">
        <v>399</v>
      </c>
      <c r="B4" s="1372">
        <v>1153.48238676219</v>
      </c>
      <c r="C4" s="1372">
        <v>187200</v>
      </c>
      <c r="D4" s="1372">
        <v>13190</v>
      </c>
      <c r="E4" s="1372">
        <v>0</v>
      </c>
      <c r="F4" s="1372">
        <v>3000</v>
      </c>
      <c r="G4" s="1373"/>
      <c r="H4" s="1372">
        <v>1153.48238676219</v>
      </c>
      <c r="I4" s="1372">
        <v>187200</v>
      </c>
      <c r="J4" s="1372">
        <v>13190</v>
      </c>
      <c r="K4" s="1372">
        <v>0</v>
      </c>
      <c r="L4" s="1372">
        <v>3000</v>
      </c>
      <c r="M4" s="1372">
        <v>204543.482386762</v>
      </c>
      <c r="N4" s="1371" t="s">
        <v>488</v>
      </c>
    </row>
    <row r="5" spans="1:14">
      <c r="A5" s="1374" t="s">
        <v>489</v>
      </c>
      <c r="B5" s="1375">
        <v>0</v>
      </c>
      <c r="C5" s="1375">
        <v>2239.42736521602</v>
      </c>
      <c r="D5" s="1375">
        <v>3419.4189265525</v>
      </c>
      <c r="E5" s="1375">
        <v>0</v>
      </c>
      <c r="F5" s="1375">
        <v>2317.09635415772</v>
      </c>
      <c r="G5" s="1373"/>
      <c r="H5" s="1375">
        <v>0</v>
      </c>
      <c r="I5" s="1375">
        <v>41922.0802768439</v>
      </c>
      <c r="J5" s="1375">
        <v>4510.21356412275</v>
      </c>
      <c r="K5" s="1375">
        <v>0</v>
      </c>
      <c r="L5" s="1375">
        <v>695.128906247317</v>
      </c>
      <c r="M5" s="1375">
        <v>47127.422747214</v>
      </c>
      <c r="N5" s="1375"/>
    </row>
    <row r="6" spans="1:14">
      <c r="A6" s="1371" t="s">
        <v>480</v>
      </c>
      <c r="B6" s="1372">
        <v>0</v>
      </c>
      <c r="C6" s="1372">
        <v>783.312314010371</v>
      </c>
      <c r="D6" s="1372">
        <v>783.312314010371</v>
      </c>
      <c r="E6" s="1372">
        <v>0</v>
      </c>
      <c r="F6" s="1372">
        <v>783.312314010371</v>
      </c>
      <c r="G6" s="1373"/>
      <c r="H6" s="1372">
        <v>0</v>
      </c>
      <c r="I6" s="1372">
        <v>14663.6065182741</v>
      </c>
      <c r="J6" s="1372">
        <v>1033.18894217968</v>
      </c>
      <c r="K6" s="1372">
        <v>0</v>
      </c>
      <c r="L6" s="1372">
        <v>234.993694203111</v>
      </c>
      <c r="M6" s="1372">
        <v>15931.7891546569</v>
      </c>
      <c r="N6" s="1372"/>
    </row>
    <row r="7" spans="1:14">
      <c r="A7" s="1371" t="s">
        <v>481</v>
      </c>
      <c r="B7" s="1372">
        <v>44963.7554710016</v>
      </c>
      <c r="C7" s="1372">
        <v>2172.23322074976</v>
      </c>
      <c r="D7" s="1372">
        <v>2617.13770406895</v>
      </c>
      <c r="E7" s="1372">
        <v>0</v>
      </c>
      <c r="F7" s="1372">
        <v>3743.73283105718</v>
      </c>
      <c r="G7" s="1373"/>
      <c r="H7" s="1372">
        <v>5186.48999784823</v>
      </c>
      <c r="I7" s="1372">
        <v>40664.2058924356</v>
      </c>
      <c r="J7" s="1372">
        <v>3452.00463166694</v>
      </c>
      <c r="K7" s="1372">
        <v>0</v>
      </c>
      <c r="L7" s="1372">
        <v>1123.11984931715</v>
      </c>
      <c r="M7" s="1372">
        <v>50425.8203712679</v>
      </c>
      <c r="N7" s="1372"/>
    </row>
    <row r="8" spans="1:14">
      <c r="A8" s="1371" t="s">
        <v>483</v>
      </c>
      <c r="B8" s="1372">
        <v>2410.47337431806</v>
      </c>
      <c r="C8" s="1372">
        <v>539.429444074844</v>
      </c>
      <c r="D8" s="1372">
        <v>1320.04026663451</v>
      </c>
      <c r="E8" s="1372">
        <v>0</v>
      </c>
      <c r="F8" s="1372">
        <v>685.281225641026</v>
      </c>
      <c r="G8" s="1373"/>
      <c r="H8" s="1372">
        <v>278.04385810351</v>
      </c>
      <c r="I8" s="1372">
        <v>10098.1191930811</v>
      </c>
      <c r="J8" s="1372">
        <v>1741.13311169092</v>
      </c>
      <c r="K8" s="1372">
        <v>0</v>
      </c>
      <c r="L8" s="1372">
        <v>205.584367692308</v>
      </c>
      <c r="M8" s="1372">
        <v>12322.8805305678</v>
      </c>
      <c r="N8" s="1372"/>
    </row>
    <row r="9" spans="1:14">
      <c r="A9" s="1371" t="s">
        <v>484</v>
      </c>
      <c r="B9" s="1372">
        <v>0</v>
      </c>
      <c r="C9" s="1372">
        <v>124.225709907968</v>
      </c>
      <c r="D9" s="1372">
        <v>208.874218529015</v>
      </c>
      <c r="E9" s="1372">
        <v>0</v>
      </c>
      <c r="F9" s="1372">
        <v>417.74843705803</v>
      </c>
      <c r="G9" s="1373"/>
      <c r="H9" s="1372">
        <v>0</v>
      </c>
      <c r="I9" s="1372">
        <v>2325.50528947716</v>
      </c>
      <c r="J9" s="1372">
        <v>275.505094239771</v>
      </c>
      <c r="K9" s="1372">
        <v>0</v>
      </c>
      <c r="L9" s="1372">
        <v>125.324531117409</v>
      </c>
      <c r="M9" s="1372">
        <v>2726.33491483434</v>
      </c>
      <c r="N9" s="1372"/>
    </row>
    <row r="10" spans="1:14">
      <c r="A10" s="1371" t="s">
        <v>485</v>
      </c>
      <c r="B10" s="1372">
        <v>0</v>
      </c>
      <c r="C10" s="1372">
        <v>248.491501688533</v>
      </c>
      <c r="D10" s="1372">
        <v>248.491501688533</v>
      </c>
      <c r="E10" s="1372">
        <v>0</v>
      </c>
      <c r="F10" s="1372">
        <v>248.491501688533</v>
      </c>
      <c r="G10" s="1373"/>
      <c r="H10" s="1372">
        <v>0</v>
      </c>
      <c r="I10" s="1372">
        <v>4651.76091160934</v>
      </c>
      <c r="J10" s="1372">
        <v>327.760290727175</v>
      </c>
      <c r="K10" s="1372">
        <v>0</v>
      </c>
      <c r="L10" s="1372">
        <v>74.5474505065599</v>
      </c>
      <c r="M10" s="1372">
        <v>5054.06865284307</v>
      </c>
      <c r="N10" s="1372"/>
    </row>
    <row r="11" spans="1:14">
      <c r="A11" s="1374" t="s">
        <v>490</v>
      </c>
      <c r="B11" s="1375">
        <v>47374.2288453197</v>
      </c>
      <c r="C11" s="1375">
        <v>3867.69219043148</v>
      </c>
      <c r="D11" s="1375">
        <v>5177.85600493138</v>
      </c>
      <c r="E11" s="1375">
        <v>0</v>
      </c>
      <c r="F11" s="1375">
        <v>5878.56630945514</v>
      </c>
      <c r="G11" s="1373"/>
      <c r="H11" s="1375">
        <v>5464.53385595174</v>
      </c>
      <c r="I11" s="1375">
        <v>72403.1978048773</v>
      </c>
      <c r="J11" s="1375">
        <v>6829.59207050449</v>
      </c>
      <c r="K11" s="1375">
        <v>0</v>
      </c>
      <c r="L11" s="1375">
        <v>1763.56989283654</v>
      </c>
      <c r="M11" s="1375">
        <v>86460.8936241701</v>
      </c>
      <c r="N11" s="1372"/>
    </row>
    <row r="12" spans="1:14">
      <c r="A12" s="314" t="s">
        <v>482</v>
      </c>
      <c r="B12" s="1372">
        <v>0</v>
      </c>
      <c r="C12" s="1372">
        <v>982.795</v>
      </c>
      <c r="D12" s="1372">
        <v>585.585585585586</v>
      </c>
      <c r="E12" s="1372">
        <v>0</v>
      </c>
      <c r="F12" s="1372">
        <v>0</v>
      </c>
      <c r="G12" s="1373"/>
      <c r="H12" s="1372">
        <v>0</v>
      </c>
      <c r="I12" s="1372">
        <v>18397.9224</v>
      </c>
      <c r="J12" s="1372">
        <v>772.387387387387</v>
      </c>
      <c r="K12" s="1372">
        <v>0</v>
      </c>
      <c r="L12" s="1372">
        <v>0</v>
      </c>
      <c r="M12" s="1372">
        <v>19170.3097873874</v>
      </c>
      <c r="N12" s="1372"/>
    </row>
    <row r="13" spans="1:14">
      <c r="A13" s="1374" t="s">
        <v>491</v>
      </c>
      <c r="B13" s="1375">
        <v>47374.2288453197</v>
      </c>
      <c r="C13" s="1375">
        <v>4850.48719043148</v>
      </c>
      <c r="D13" s="1375">
        <v>5763.44159051696</v>
      </c>
      <c r="E13" s="1375">
        <v>0</v>
      </c>
      <c r="F13" s="1375">
        <v>5878.56630945514</v>
      </c>
      <c r="G13" s="1373"/>
      <c r="H13" s="1375">
        <v>5464.53385595174</v>
      </c>
      <c r="I13" s="1375">
        <v>90801.1202048773</v>
      </c>
      <c r="J13" s="1375">
        <v>7601.97945789187</v>
      </c>
      <c r="K13" s="1375">
        <v>0</v>
      </c>
      <c r="L13" s="1375">
        <v>1763.56989283654</v>
      </c>
      <c r="M13" s="1375">
        <v>105631.203411557</v>
      </c>
      <c r="N13" s="1372"/>
    </row>
    <row r="14" spans="1:14">
      <c r="A14" s="314" t="s">
        <v>492</v>
      </c>
      <c r="B14" s="1372">
        <v>0</v>
      </c>
      <c r="C14" s="1372">
        <v>305.63340390049</v>
      </c>
      <c r="D14" s="1372">
        <v>305.63340390049</v>
      </c>
      <c r="E14" s="1372">
        <v>0</v>
      </c>
      <c r="F14" s="1372">
        <v>305.63340390049</v>
      </c>
      <c r="G14" s="1373"/>
      <c r="H14" s="1372">
        <v>0</v>
      </c>
      <c r="I14" s="1372">
        <v>5721.45732101717</v>
      </c>
      <c r="J14" s="1372">
        <v>403.130459744746</v>
      </c>
      <c r="K14" s="1372">
        <v>0</v>
      </c>
      <c r="L14" s="1372">
        <v>91.6900211701469</v>
      </c>
      <c r="M14" s="1372">
        <v>6216.27780193206</v>
      </c>
      <c r="N14" s="1372"/>
    </row>
    <row r="15" spans="1:14">
      <c r="A15" s="1374" t="s">
        <v>2</v>
      </c>
      <c r="B15" s="1375">
        <v>47374.2288453197</v>
      </c>
      <c r="C15" s="1375">
        <v>7395.54795954799</v>
      </c>
      <c r="D15" s="1375">
        <v>9488.49392096995</v>
      </c>
      <c r="E15" s="1375">
        <v>0</v>
      </c>
      <c r="F15" s="1375">
        <v>8501.29606751335</v>
      </c>
      <c r="G15" s="1373"/>
      <c r="H15" s="1375">
        <v>5464.53385595174</v>
      </c>
      <c r="I15" s="1375">
        <v>138444.657802738</v>
      </c>
      <c r="J15" s="1375">
        <v>12515.3234817594</v>
      </c>
      <c r="K15" s="1375">
        <v>0</v>
      </c>
      <c r="L15" s="1375">
        <v>2550.38882025401</v>
      </c>
      <c r="M15" s="1375">
        <v>158974.903960703</v>
      </c>
      <c r="N15" s="1372"/>
    </row>
    <row r="17" spans="1:7">
      <c r="A17" s="1371" t="s">
        <v>46</v>
      </c>
      <c r="B17" s="1376" t="s">
        <v>486</v>
      </c>
      <c r="G17" s="1377"/>
    </row>
    <row r="18" spans="1:7">
      <c r="A18" s="1372" t="s">
        <v>202</v>
      </c>
      <c r="B18" s="1372">
        <v>47374.2288453197</v>
      </c>
      <c r="C18" s="1378" t="s">
        <v>488</v>
      </c>
      <c r="D18" s="1378"/>
      <c r="E18" s="1378"/>
      <c r="G18" s="1379"/>
    </row>
    <row r="19" spans="1:7">
      <c r="A19" s="1372" t="s">
        <v>195</v>
      </c>
      <c r="B19" s="1372">
        <v>7395.54795954799</v>
      </c>
      <c r="G19" s="1379"/>
    </row>
    <row r="20" spans="1:7">
      <c r="A20" s="1371" t="s">
        <v>63</v>
      </c>
      <c r="B20" s="1372">
        <v>9488.49392096995</v>
      </c>
      <c r="G20" s="1379"/>
    </row>
    <row r="21" spans="1:7">
      <c r="A21" s="1371" t="s">
        <v>245</v>
      </c>
      <c r="B21" s="1372">
        <v>0</v>
      </c>
      <c r="G21" s="1379"/>
    </row>
    <row r="22" spans="1:7">
      <c r="A22" s="1372" t="s">
        <v>199</v>
      </c>
      <c r="B22" s="1372">
        <v>8501.29606751335</v>
      </c>
      <c r="G22" s="1379"/>
    </row>
    <row r="24" spans="23:23">
      <c r="W24" s="1366" t="s">
        <v>261</v>
      </c>
    </row>
    <row r="28" spans="3:6">
      <c r="C28" s="1375"/>
      <c r="D28" s="1375"/>
      <c r="E28" s="1375"/>
      <c r="F28" s="1375"/>
    </row>
    <row r="33" spans="1:7">
      <c r="A33" s="1380"/>
      <c r="B33" s="1380"/>
      <c r="C33" s="1380"/>
      <c r="D33" s="1380"/>
      <c r="E33" s="1380"/>
      <c r="F33" s="1380"/>
      <c r="G33" s="1380"/>
    </row>
    <row r="41" spans="1:7">
      <c r="A41" s="1380"/>
      <c r="B41" s="1380"/>
      <c r="C41" s="1380"/>
      <c r="D41" s="1380"/>
      <c r="E41" s="1380"/>
      <c r="F41" s="1380"/>
      <c r="G41" s="1380"/>
    </row>
  </sheetData>
  <mergeCells count="1">
    <mergeCell ref="N1:N2"/>
  </mergeCells>
  <pageMargins left="0.75" right="0.75" top="1" bottom="1" header="0.5" footer="0.5"/>
  <pageSetup paperSize="9" orientation="portrait"/>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outlinePr summaryBelow="0" summaryRight="0"/>
  </sheetPr>
  <dimension ref="A1:AW73"/>
  <sheetViews>
    <sheetView showGridLines="0" workbookViewId="0">
      <pane xSplit="4" ySplit="5" topLeftCell="E6" activePane="bottomRight" state="frozen"/>
      <selection/>
      <selection pane="topRight"/>
      <selection pane="bottomLeft"/>
      <selection pane="bottomRight" activeCell="A1" sqref="A1"/>
    </sheetView>
  </sheetViews>
  <sheetFormatPr defaultColWidth="9" defaultRowHeight="12"/>
  <cols>
    <col min="1" max="1" width="3.5" style="1278" customWidth="1"/>
    <col min="2" max="2" width="11.6" style="1279" customWidth="1"/>
    <col min="3" max="3" width="5.5" style="1280" customWidth="1"/>
    <col min="4" max="4" width="29.1" style="1281" customWidth="1"/>
    <col min="5" max="5" width="9.4" style="1281" customWidth="1" collapsed="1"/>
    <col min="6" max="6" width="10" style="1281" hidden="1" customWidth="1" outlineLevel="1"/>
    <col min="7" max="7" width="8.9" style="1281" hidden="1" customWidth="1" outlineLevel="1"/>
    <col min="8" max="8" width="9.6" style="1281" customWidth="1" collapsed="1"/>
    <col min="9" max="10" width="9.6" style="1281" hidden="1" customWidth="1" outlineLevel="1"/>
    <col min="11" max="11" width="9.6" style="1281" customWidth="1" collapsed="1"/>
    <col min="12" max="15" width="9.6" style="1281" hidden="1" customWidth="1" outlineLevel="1"/>
    <col min="16" max="16" width="9.6" style="1281" customWidth="1" collapsed="1"/>
    <col min="17" max="18" width="9.6" style="1281" hidden="1" customWidth="1" outlineLevel="1"/>
    <col min="19" max="19" width="11.1" style="1282" customWidth="1" collapsed="1"/>
    <col min="20" max="21" width="11.1" style="1282" hidden="1" customWidth="1" outlineLevel="1"/>
    <col min="22" max="22" width="10" style="1282" customWidth="1" collapsed="1"/>
    <col min="23" max="24" width="10" style="1282" hidden="1" customWidth="1" outlineLevel="1"/>
    <col min="25" max="25" width="2.1" style="1283" customWidth="1"/>
    <col min="26" max="26" width="10.9" style="1282" customWidth="1"/>
    <col min="27" max="28" width="10.9" style="1282" customWidth="1" outlineLevel="1"/>
    <col min="29" max="29" width="13.5" style="1282" customWidth="1"/>
    <col min="30" max="31" width="9.6" style="1282" customWidth="1" outlineLevel="1"/>
    <col min="32" max="32" width="9.6" style="1282" hidden="1" customWidth="1" collapsed="1"/>
    <col min="33" max="34" width="9.6" style="1282" hidden="1" customWidth="1" outlineLevel="1"/>
    <col min="35" max="35" width="9.6" style="1282" hidden="1" customWidth="1" collapsed="1"/>
    <col min="36" max="37" width="9.6" style="1282" hidden="1" customWidth="1" outlineLevel="1"/>
    <col min="38" max="38" width="9.9" style="1282" customWidth="1"/>
    <col min="39" max="40" width="9.9" style="1282" customWidth="1" outlineLevel="1"/>
    <col min="41" max="41" width="10.6" style="1284" customWidth="1"/>
    <col min="42" max="43" width="10.6" style="1284" customWidth="1" outlineLevel="1"/>
    <col min="44" max="44" width="16" style="1284" customWidth="1"/>
    <col min="45" max="45" width="18.1" style="1284" customWidth="1"/>
    <col min="46" max="46" width="12.6" style="1284" customWidth="1"/>
    <col min="47" max="47" width="9" style="1284" customWidth="1"/>
    <col min="48" max="16384" width="9" style="1278"/>
  </cols>
  <sheetData>
    <row r="1" ht="18" customHeight="1" spans="1:44">
      <c r="A1" s="1278" t="s">
        <v>261</v>
      </c>
      <c r="B1" s="1285" t="s">
        <v>493</v>
      </c>
      <c r="C1" s="1285"/>
      <c r="D1" s="1285"/>
      <c r="E1" s="1285"/>
      <c r="F1" s="1285"/>
      <c r="G1" s="1285"/>
      <c r="H1" s="1285"/>
      <c r="I1" s="1285"/>
      <c r="J1" s="1285"/>
      <c r="K1" s="1285"/>
      <c r="L1" s="1285"/>
      <c r="M1" s="1285"/>
      <c r="N1" s="1285"/>
      <c r="O1" s="1285"/>
      <c r="P1" s="1285"/>
      <c r="Q1" s="1285"/>
      <c r="R1" s="1285"/>
      <c r="S1" s="1285"/>
      <c r="T1" s="1285"/>
      <c r="U1" s="1285"/>
      <c r="V1" s="1285"/>
      <c r="W1" s="1285"/>
      <c r="X1" s="1285"/>
      <c r="Y1" s="1285"/>
      <c r="Z1" s="1285"/>
      <c r="AA1" s="1285"/>
      <c r="AB1" s="1285"/>
      <c r="AC1" s="1285"/>
      <c r="AD1" s="1285"/>
      <c r="AE1" s="1285"/>
      <c r="AF1" s="1285"/>
      <c r="AG1" s="1285"/>
      <c r="AH1" s="1285"/>
      <c r="AI1" s="1285"/>
      <c r="AJ1" s="1285"/>
      <c r="AK1" s="1285"/>
      <c r="AL1" s="1285"/>
      <c r="AM1" s="1285"/>
      <c r="AN1" s="1285"/>
      <c r="AO1" s="1285"/>
      <c r="AP1" s="1285"/>
      <c r="AQ1" s="1285"/>
      <c r="AR1" s="1285"/>
    </row>
    <row r="2" ht="18" customHeight="1" spans="2:44">
      <c r="B2" s="1286"/>
      <c r="C2" s="1286"/>
      <c r="D2" s="1286"/>
      <c r="E2" s="1286"/>
      <c r="F2" s="1286"/>
      <c r="G2" s="1286"/>
      <c r="H2" s="1286"/>
      <c r="I2" s="1286"/>
      <c r="J2" s="1286"/>
      <c r="K2" s="1286"/>
      <c r="L2" s="1286"/>
      <c r="M2" s="1286"/>
      <c r="N2" s="1286"/>
      <c r="O2" s="1286"/>
      <c r="P2" s="1286"/>
      <c r="Q2" s="1286"/>
      <c r="R2" s="1286"/>
      <c r="S2" s="1286"/>
      <c r="T2" s="1286"/>
      <c r="U2" s="1286"/>
      <c r="V2" s="1286"/>
      <c r="W2" s="1286"/>
      <c r="X2" s="1286"/>
      <c r="Y2" s="1286"/>
      <c r="Z2" s="1286"/>
      <c r="AA2" s="1286"/>
      <c r="AB2" s="1286"/>
      <c r="AC2" s="1286"/>
      <c r="AD2" s="1286"/>
      <c r="AE2" s="1286"/>
      <c r="AF2" s="1286"/>
      <c r="AG2" s="1286"/>
      <c r="AH2" s="1286"/>
      <c r="AI2" s="1286"/>
      <c r="AJ2" s="1286"/>
      <c r="AK2" s="1286"/>
      <c r="AL2" s="1286"/>
      <c r="AM2" s="1286"/>
      <c r="AN2" s="1286"/>
      <c r="AO2" s="1286"/>
      <c r="AP2" s="1286"/>
      <c r="AQ2" s="1286"/>
      <c r="AR2" s="1286"/>
    </row>
    <row r="3" ht="20.1" customHeight="1" spans="2:46">
      <c r="B3" s="1287"/>
      <c r="C3" s="1287" t="s">
        <v>21</v>
      </c>
      <c r="D3" s="487" t="s">
        <v>494</v>
      </c>
      <c r="E3" s="1288" t="s">
        <v>495</v>
      </c>
      <c r="F3" s="1289"/>
      <c r="G3" s="1289"/>
      <c r="H3" s="1289"/>
      <c r="I3" s="1289"/>
      <c r="J3" s="1289"/>
      <c r="K3" s="1289"/>
      <c r="L3" s="1289"/>
      <c r="M3" s="1289"/>
      <c r="N3" s="1289"/>
      <c r="O3" s="1289"/>
      <c r="P3" s="1289"/>
      <c r="Q3" s="1289"/>
      <c r="R3" s="1289"/>
      <c r="S3" s="1289"/>
      <c r="T3" s="1289"/>
      <c r="U3" s="1289"/>
      <c r="V3" s="1289"/>
      <c r="W3" s="1289"/>
      <c r="X3" s="1290"/>
      <c r="Y3" s="1330"/>
      <c r="Z3" s="1288" t="s">
        <v>496</v>
      </c>
      <c r="AA3" s="1289"/>
      <c r="AB3" s="1289"/>
      <c r="AC3" s="1289"/>
      <c r="AD3" s="1289"/>
      <c r="AE3" s="1289"/>
      <c r="AF3" s="1289"/>
      <c r="AG3" s="1289"/>
      <c r="AH3" s="1289"/>
      <c r="AI3" s="1289"/>
      <c r="AJ3" s="1289"/>
      <c r="AK3" s="1289"/>
      <c r="AL3" s="1289"/>
      <c r="AM3" s="1289"/>
      <c r="AN3" s="1289"/>
      <c r="AO3" s="1289"/>
      <c r="AP3" s="1289"/>
      <c r="AQ3" s="1290"/>
      <c r="AR3" s="1342" t="s">
        <v>497</v>
      </c>
      <c r="AT3" s="1284">
        <v>56314</v>
      </c>
    </row>
    <row r="4" ht="20.1" customHeight="1" spans="2:46">
      <c r="B4" s="1287"/>
      <c r="C4" s="1287"/>
      <c r="D4" s="487"/>
      <c r="E4" s="1288" t="s">
        <v>202</v>
      </c>
      <c r="F4" s="1289"/>
      <c r="G4" s="1290"/>
      <c r="H4" s="1291" t="s">
        <v>195</v>
      </c>
      <c r="I4" s="1327"/>
      <c r="J4" s="1328"/>
      <c r="K4" s="1291" t="s">
        <v>63</v>
      </c>
      <c r="L4" s="1327"/>
      <c r="M4" s="1328"/>
      <c r="N4" s="1327"/>
      <c r="O4" s="1328"/>
      <c r="P4" s="1291" t="s">
        <v>199</v>
      </c>
      <c r="Q4" s="1327"/>
      <c r="R4" s="1328"/>
      <c r="S4" s="1291" t="s">
        <v>498</v>
      </c>
      <c r="T4" s="1327"/>
      <c r="U4" s="1328"/>
      <c r="V4" s="1288" t="s">
        <v>499</v>
      </c>
      <c r="W4" s="1289"/>
      <c r="X4" s="1290"/>
      <c r="Y4" s="1330"/>
      <c r="Z4" s="1288" t="s">
        <v>202</v>
      </c>
      <c r="AA4" s="1289"/>
      <c r="AB4" s="1290"/>
      <c r="AC4" s="1291" t="s">
        <v>195</v>
      </c>
      <c r="AD4" s="1327"/>
      <c r="AE4" s="1328"/>
      <c r="AF4" s="466" t="s">
        <v>63</v>
      </c>
      <c r="AG4" s="466"/>
      <c r="AH4" s="466"/>
      <c r="AI4" s="466" t="s">
        <v>245</v>
      </c>
      <c r="AJ4" s="466"/>
      <c r="AK4" s="466"/>
      <c r="AL4" s="1291" t="s">
        <v>199</v>
      </c>
      <c r="AM4" s="1327"/>
      <c r="AN4" s="1328"/>
      <c r="AO4" s="1343" t="s">
        <v>500</v>
      </c>
      <c r="AP4" s="1343" t="s">
        <v>501</v>
      </c>
      <c r="AQ4" s="1343" t="s">
        <v>339</v>
      </c>
      <c r="AR4" s="1342"/>
      <c r="AT4" s="1284">
        <v>53027.48</v>
      </c>
    </row>
    <row r="5" s="1276" customFormat="1" ht="32.1" customHeight="1" spans="2:47">
      <c r="B5" s="1287"/>
      <c r="C5" s="1287"/>
      <c r="D5" s="487"/>
      <c r="E5" s="487" t="s">
        <v>502</v>
      </c>
      <c r="F5" s="487" t="s">
        <v>503</v>
      </c>
      <c r="G5" s="487" t="s">
        <v>504</v>
      </c>
      <c r="H5" s="487" t="s">
        <v>502</v>
      </c>
      <c r="I5" s="487" t="s">
        <v>503</v>
      </c>
      <c r="J5" s="487" t="s">
        <v>504</v>
      </c>
      <c r="K5" s="487" t="s">
        <v>502</v>
      </c>
      <c r="L5" s="487" t="s">
        <v>503</v>
      </c>
      <c r="M5" s="487" t="s">
        <v>504</v>
      </c>
      <c r="N5" s="487" t="s">
        <v>503</v>
      </c>
      <c r="O5" s="487" t="s">
        <v>504</v>
      </c>
      <c r="P5" s="487" t="s">
        <v>502</v>
      </c>
      <c r="Q5" s="487" t="s">
        <v>503</v>
      </c>
      <c r="R5" s="487" t="s">
        <v>504</v>
      </c>
      <c r="S5" s="487" t="s">
        <v>502</v>
      </c>
      <c r="T5" s="487" t="s">
        <v>503</v>
      </c>
      <c r="U5" s="487" t="s">
        <v>504</v>
      </c>
      <c r="V5" s="487" t="s">
        <v>502</v>
      </c>
      <c r="W5" s="487" t="s">
        <v>503</v>
      </c>
      <c r="X5" s="487" t="s">
        <v>504</v>
      </c>
      <c r="Y5" s="1330"/>
      <c r="Z5" s="487" t="s">
        <v>500</v>
      </c>
      <c r="AA5" s="487" t="s">
        <v>501</v>
      </c>
      <c r="AB5" s="487" t="s">
        <v>339</v>
      </c>
      <c r="AC5" s="487" t="s">
        <v>500</v>
      </c>
      <c r="AD5" s="487" t="s">
        <v>501</v>
      </c>
      <c r="AE5" s="487" t="s">
        <v>339</v>
      </c>
      <c r="AF5" s="487" t="s">
        <v>500</v>
      </c>
      <c r="AG5" s="487" t="s">
        <v>501</v>
      </c>
      <c r="AH5" s="487" t="s">
        <v>339</v>
      </c>
      <c r="AI5" s="487" t="s">
        <v>500</v>
      </c>
      <c r="AJ5" s="487" t="s">
        <v>501</v>
      </c>
      <c r="AK5" s="487" t="s">
        <v>339</v>
      </c>
      <c r="AL5" s="487" t="s">
        <v>500</v>
      </c>
      <c r="AM5" s="487" t="s">
        <v>501</v>
      </c>
      <c r="AN5" s="487" t="s">
        <v>339</v>
      </c>
      <c r="AO5" s="1344"/>
      <c r="AP5" s="1344"/>
      <c r="AQ5" s="1344"/>
      <c r="AR5" s="1342"/>
      <c r="AS5" s="1345"/>
      <c r="AT5" s="1345">
        <v>3286.52</v>
      </c>
      <c r="AU5" s="1345"/>
    </row>
    <row r="6" s="1276" customFormat="1" ht="15.75" customHeight="1" spans="2:47">
      <c r="B6" s="1292"/>
      <c r="C6" s="1292"/>
      <c r="D6" s="1293" t="s">
        <v>505</v>
      </c>
      <c r="E6" s="1293" t="s">
        <v>506</v>
      </c>
      <c r="F6" s="1293" t="s">
        <v>506</v>
      </c>
      <c r="G6" s="1293" t="s">
        <v>506</v>
      </c>
      <c r="H6" s="1293" t="s">
        <v>506</v>
      </c>
      <c r="I6" s="1293" t="s">
        <v>506</v>
      </c>
      <c r="J6" s="1293" t="s">
        <v>506</v>
      </c>
      <c r="K6" s="1293" t="s">
        <v>506</v>
      </c>
      <c r="L6" s="1293" t="s">
        <v>506</v>
      </c>
      <c r="M6" s="1293" t="s">
        <v>506</v>
      </c>
      <c r="N6" s="1293" t="s">
        <v>506</v>
      </c>
      <c r="O6" s="1293" t="s">
        <v>506</v>
      </c>
      <c r="P6" s="1293" t="s">
        <v>506</v>
      </c>
      <c r="Q6" s="1293" t="s">
        <v>506</v>
      </c>
      <c r="R6" s="1293" t="s">
        <v>506</v>
      </c>
      <c r="S6" s="1293" t="s">
        <v>506</v>
      </c>
      <c r="T6" s="1293" t="s">
        <v>506</v>
      </c>
      <c r="U6" s="1293" t="s">
        <v>506</v>
      </c>
      <c r="V6" s="1293" t="s">
        <v>506</v>
      </c>
      <c r="W6" s="1293" t="s">
        <v>506</v>
      </c>
      <c r="X6" s="1293" t="s">
        <v>506</v>
      </c>
      <c r="Y6" s="144"/>
      <c r="Z6" s="1331">
        <v>65546.1504529512</v>
      </c>
      <c r="AA6" s="1331">
        <v>65546.1504529512</v>
      </c>
      <c r="AB6" s="1331">
        <v>65546.1504529512</v>
      </c>
      <c r="AC6" s="1331">
        <v>187200</v>
      </c>
      <c r="AD6" s="1331">
        <v>187200</v>
      </c>
      <c r="AE6" s="1331">
        <v>187200</v>
      </c>
      <c r="AF6" s="1331">
        <v>13190</v>
      </c>
      <c r="AG6" s="1331">
        <v>13190</v>
      </c>
      <c r="AH6" s="1331">
        <v>13190</v>
      </c>
      <c r="AI6" s="1331">
        <v>0</v>
      </c>
      <c r="AJ6" s="1331">
        <v>0</v>
      </c>
      <c r="AK6" s="1331">
        <v>0</v>
      </c>
      <c r="AL6" s="1331">
        <v>3000</v>
      </c>
      <c r="AM6" s="1331">
        <v>3000</v>
      </c>
      <c r="AN6" s="1331">
        <v>3000</v>
      </c>
      <c r="AO6" s="1331">
        <v>273546.150452951</v>
      </c>
      <c r="AP6" s="1331">
        <v>273546.150452951</v>
      </c>
      <c r="AQ6" s="1331">
        <v>273546.150452951</v>
      </c>
      <c r="AR6" s="1346"/>
      <c r="AS6" s="1347" t="s">
        <v>507</v>
      </c>
      <c r="AT6" s="1347">
        <v>1058.544</v>
      </c>
      <c r="AU6" s="1347"/>
    </row>
    <row r="7" s="1276" customFormat="1" ht="15.75" customHeight="1" spans="2:47">
      <c r="B7" s="1292"/>
      <c r="C7" s="1292"/>
      <c r="D7" s="1293" t="s">
        <v>508</v>
      </c>
      <c r="E7" s="1293" t="s">
        <v>506</v>
      </c>
      <c r="F7" s="1293" t="s">
        <v>506</v>
      </c>
      <c r="G7" s="1293" t="s">
        <v>506</v>
      </c>
      <c r="H7" s="1293" t="s">
        <v>506</v>
      </c>
      <c r="I7" s="1293" t="s">
        <v>506</v>
      </c>
      <c r="J7" s="1293" t="s">
        <v>506</v>
      </c>
      <c r="K7" s="1293" t="s">
        <v>506</v>
      </c>
      <c r="L7" s="1293" t="s">
        <v>506</v>
      </c>
      <c r="M7" s="1293" t="s">
        <v>506</v>
      </c>
      <c r="N7" s="1293" t="s">
        <v>506</v>
      </c>
      <c r="O7" s="1293" t="s">
        <v>506</v>
      </c>
      <c r="P7" s="1293" t="s">
        <v>506</v>
      </c>
      <c r="Q7" s="1293" t="s">
        <v>506</v>
      </c>
      <c r="R7" s="1293" t="s">
        <v>506</v>
      </c>
      <c r="S7" s="1293" t="s">
        <v>506</v>
      </c>
      <c r="T7" s="1293" t="s">
        <v>506</v>
      </c>
      <c r="U7" s="1293" t="s">
        <v>506</v>
      </c>
      <c r="V7" s="1293" t="s">
        <v>506</v>
      </c>
      <c r="W7" s="1293" t="s">
        <v>506</v>
      </c>
      <c r="X7" s="1293" t="s">
        <v>506</v>
      </c>
      <c r="Y7" s="144"/>
      <c r="Z7" s="1331">
        <v>34604.4716028656</v>
      </c>
      <c r="AA7" s="1331">
        <v>34604.4716028656</v>
      </c>
      <c r="AB7" s="1331">
        <v>34604.4716028656</v>
      </c>
      <c r="AC7" s="1331">
        <v>187200</v>
      </c>
      <c r="AD7" s="1331">
        <v>187200</v>
      </c>
      <c r="AE7" s="1331">
        <v>187200</v>
      </c>
      <c r="AF7" s="1331">
        <v>13190</v>
      </c>
      <c r="AG7" s="1331">
        <v>13190</v>
      </c>
      <c r="AH7" s="1331">
        <v>13190</v>
      </c>
      <c r="AI7" s="1331">
        <v>0</v>
      </c>
      <c r="AJ7" s="1331">
        <v>0</v>
      </c>
      <c r="AK7" s="1331">
        <v>0</v>
      </c>
      <c r="AL7" s="1331">
        <v>3000</v>
      </c>
      <c r="AM7" s="1331">
        <v>3000</v>
      </c>
      <c r="AN7" s="1331">
        <v>3000</v>
      </c>
      <c r="AO7" s="1331">
        <v>237994.471602866</v>
      </c>
      <c r="AP7" s="1331">
        <v>237994.471602866</v>
      </c>
      <c r="AQ7" s="1331">
        <v>237994.471602866</v>
      </c>
      <c r="AR7" s="1346"/>
      <c r="AS7" s="1347" t="s">
        <v>509</v>
      </c>
      <c r="AT7" s="1347">
        <v>248.88</v>
      </c>
      <c r="AU7" s="1347"/>
    </row>
    <row r="8" s="1276" customFormat="1" ht="15.75" customHeight="1" spans="2:47">
      <c r="B8" s="1292"/>
      <c r="C8" s="1292"/>
      <c r="D8" s="1293" t="s">
        <v>167</v>
      </c>
      <c r="E8" s="1293" t="s">
        <v>506</v>
      </c>
      <c r="F8" s="1293" t="s">
        <v>506</v>
      </c>
      <c r="G8" s="1293" t="s">
        <v>506</v>
      </c>
      <c r="H8" s="1293" t="s">
        <v>506</v>
      </c>
      <c r="I8" s="1293" t="s">
        <v>506</v>
      </c>
      <c r="J8" s="1293" t="s">
        <v>506</v>
      </c>
      <c r="K8" s="1293" t="s">
        <v>506</v>
      </c>
      <c r="L8" s="1293" t="s">
        <v>506</v>
      </c>
      <c r="M8" s="1293" t="s">
        <v>506</v>
      </c>
      <c r="N8" s="1293" t="s">
        <v>506</v>
      </c>
      <c r="O8" s="1293" t="s">
        <v>506</v>
      </c>
      <c r="P8" s="1293" t="s">
        <v>506</v>
      </c>
      <c r="Q8" s="1293" t="s">
        <v>506</v>
      </c>
      <c r="R8" s="1293" t="s">
        <v>506</v>
      </c>
      <c r="S8" s="1293" t="s">
        <v>506</v>
      </c>
      <c r="T8" s="1293" t="s">
        <v>506</v>
      </c>
      <c r="U8" s="1293" t="s">
        <v>506</v>
      </c>
      <c r="V8" s="1293" t="s">
        <v>506</v>
      </c>
      <c r="W8" s="1293" t="s">
        <v>506</v>
      </c>
      <c r="X8" s="1293" t="s">
        <v>506</v>
      </c>
      <c r="Y8" s="144"/>
      <c r="Z8" s="1331">
        <v>0</v>
      </c>
      <c r="AA8" s="1331">
        <v>0</v>
      </c>
      <c r="AB8" s="1331">
        <v>0</v>
      </c>
      <c r="AC8" s="1331">
        <v>55667.6</v>
      </c>
      <c r="AD8" s="1331">
        <v>55667.6</v>
      </c>
      <c r="AE8" s="1331">
        <v>55667.6</v>
      </c>
      <c r="AF8" s="1331">
        <v>6595</v>
      </c>
      <c r="AG8" s="1331">
        <v>6595</v>
      </c>
      <c r="AH8" s="1331">
        <v>6595</v>
      </c>
      <c r="AI8" s="1331">
        <v>0</v>
      </c>
      <c r="AJ8" s="1331">
        <v>0</v>
      </c>
      <c r="AK8" s="1331">
        <v>0</v>
      </c>
      <c r="AL8" s="1331">
        <v>3000</v>
      </c>
      <c r="AM8" s="1331">
        <v>3000</v>
      </c>
      <c r="AN8" s="1331">
        <v>3000</v>
      </c>
      <c r="AO8" s="1331">
        <v>65262.6</v>
      </c>
      <c r="AP8" s="1331">
        <v>65262.6</v>
      </c>
      <c r="AQ8" s="1331">
        <v>65262.6</v>
      </c>
      <c r="AR8" s="1346"/>
      <c r="AS8" s="1347"/>
      <c r="AT8" s="1347"/>
      <c r="AU8" s="1347"/>
    </row>
    <row r="9" s="1277" customFormat="1" ht="15.75" customHeight="1" spans="2:48">
      <c r="B9" s="1294">
        <v>5001.01</v>
      </c>
      <c r="C9" s="1295" t="s">
        <v>510</v>
      </c>
      <c r="D9" s="1296" t="s">
        <v>489</v>
      </c>
      <c r="E9" s="1297">
        <v>0</v>
      </c>
      <c r="F9" s="1297">
        <v>0</v>
      </c>
      <c r="G9" s="1297">
        <v>0</v>
      </c>
      <c r="H9" s="1297">
        <v>2440.33769523871</v>
      </c>
      <c r="I9" s="1297">
        <v>2239.42736521602</v>
      </c>
      <c r="J9" s="1297">
        <v>200.910330022693</v>
      </c>
      <c r="K9" s="1297">
        <v>3745.63486396126</v>
      </c>
      <c r="L9" s="1297">
        <v>3419.4189265525</v>
      </c>
      <c r="M9" s="1297">
        <v>326.215937408763</v>
      </c>
      <c r="N9" s="1297" t="s">
        <v>511</v>
      </c>
      <c r="O9" s="1297" t="s">
        <v>511</v>
      </c>
      <c r="P9" s="1297">
        <v>2526.2545057355</v>
      </c>
      <c r="Q9" s="1297">
        <v>2317.09635415772</v>
      </c>
      <c r="R9" s="1297">
        <v>209.158151577772</v>
      </c>
      <c r="S9" s="1297">
        <v>2158.93629991091</v>
      </c>
      <c r="T9" s="1297">
        <v>1980.18980986475</v>
      </c>
      <c r="U9" s="1297">
        <v>178.746490046161</v>
      </c>
      <c r="V9" s="1297">
        <v>2526.2545057355</v>
      </c>
      <c r="W9" s="1297">
        <v>2317.09635415772</v>
      </c>
      <c r="X9" s="1297">
        <v>209.158151577772</v>
      </c>
      <c r="Y9" s="1332"/>
      <c r="Z9" s="1333">
        <v>0</v>
      </c>
      <c r="AA9" s="1182">
        <v>0</v>
      </c>
      <c r="AB9" s="1182">
        <v>0</v>
      </c>
      <c r="AC9" s="1333">
        <v>45683.1216548687</v>
      </c>
      <c r="AD9" s="1182">
        <v>41922.0802768439</v>
      </c>
      <c r="AE9" s="1182">
        <v>3761.04137802481</v>
      </c>
      <c r="AF9" s="1182">
        <v>4940.49238556491</v>
      </c>
      <c r="AG9" s="1182">
        <v>4510.21356412275</v>
      </c>
      <c r="AH9" s="1182">
        <v>430.278821442158</v>
      </c>
      <c r="AI9" s="1182">
        <v>0</v>
      </c>
      <c r="AJ9" s="1182">
        <v>0</v>
      </c>
      <c r="AK9" s="1182">
        <v>0</v>
      </c>
      <c r="AL9" s="1333">
        <v>757.876351720649</v>
      </c>
      <c r="AM9" s="1182">
        <v>695.128906247317</v>
      </c>
      <c r="AN9" s="1182">
        <v>62.7474454733316</v>
      </c>
      <c r="AO9" s="1182">
        <v>51381.4903921543</v>
      </c>
      <c r="AP9" s="1182">
        <v>47127.422747214</v>
      </c>
      <c r="AQ9" s="1182">
        <v>4254.0676449403</v>
      </c>
      <c r="AR9" s="1182"/>
      <c r="AS9" s="1347"/>
      <c r="AT9" s="1347"/>
      <c r="AU9" s="1347"/>
      <c r="AV9" s="1276"/>
    </row>
    <row r="10" ht="15.75" customHeight="1" spans="2:48">
      <c r="B10" s="1298" t="s">
        <v>512</v>
      </c>
      <c r="C10" s="1299">
        <v>1</v>
      </c>
      <c r="D10" s="1815" t="s">
        <v>513</v>
      </c>
      <c r="E10" s="1301">
        <v>0</v>
      </c>
      <c r="F10" s="1301">
        <v>0</v>
      </c>
      <c r="G10" s="1301">
        <v>0</v>
      </c>
      <c r="H10" s="1301">
        <v>2089.28410512626</v>
      </c>
      <c r="I10" s="1301">
        <v>1888.71750614166</v>
      </c>
      <c r="J10" s="1301">
        <v>200.566598984599</v>
      </c>
      <c r="K10" s="1301">
        <v>3394.58127384881</v>
      </c>
      <c r="L10" s="1301">
        <v>3068.70906747815</v>
      </c>
      <c r="M10" s="1301">
        <v>325.872206370668</v>
      </c>
      <c r="N10" s="1301" t="s">
        <v>511</v>
      </c>
      <c r="O10" s="1301" t="s">
        <v>511</v>
      </c>
      <c r="P10" s="1301">
        <v>2175.20091562305</v>
      </c>
      <c r="Q10" s="1301">
        <v>1966.38649508337</v>
      </c>
      <c r="R10" s="1301">
        <v>208.814420539677</v>
      </c>
      <c r="S10" s="1301">
        <v>1858.92601306645</v>
      </c>
      <c r="T10" s="1301">
        <v>1680.4732754565</v>
      </c>
      <c r="U10" s="1301">
        <v>178.452737609951</v>
      </c>
      <c r="V10" s="1301">
        <v>2175.20091562305</v>
      </c>
      <c r="W10" s="1301">
        <v>1966.38649508337</v>
      </c>
      <c r="X10" s="1301">
        <v>208.814420539678</v>
      </c>
      <c r="Y10" s="1334"/>
      <c r="Z10" s="1301"/>
      <c r="AA10" s="1301"/>
      <c r="AB10" s="1301"/>
      <c r="AC10" s="1302">
        <v>39111.3984479636</v>
      </c>
      <c r="AD10" s="1302">
        <v>35356.791714972</v>
      </c>
      <c r="AE10" s="1302">
        <v>3754.60673299169</v>
      </c>
      <c r="AF10" s="1302">
        <v>4477.45270020659</v>
      </c>
      <c r="AG10" s="1302">
        <v>4047.62726000367</v>
      </c>
      <c r="AH10" s="1302">
        <v>429.825440202912</v>
      </c>
      <c r="AI10" s="1302">
        <v>0</v>
      </c>
      <c r="AJ10" s="1302">
        <v>0</v>
      </c>
      <c r="AK10" s="1302">
        <v>0</v>
      </c>
      <c r="AL10" s="1302">
        <v>652.560274686914</v>
      </c>
      <c r="AM10" s="1302">
        <v>589.915948525011</v>
      </c>
      <c r="AN10" s="1302">
        <v>62.6443261619033</v>
      </c>
      <c r="AO10" s="1348">
        <v>44241.4114228572</v>
      </c>
      <c r="AP10" s="1348">
        <v>39994.3349235007</v>
      </c>
      <c r="AQ10" s="1348">
        <v>4247.0764993565</v>
      </c>
      <c r="AR10" s="1348" t="s">
        <v>514</v>
      </c>
      <c r="AS10" s="1347"/>
      <c r="AT10" s="1347"/>
      <c r="AU10" s="1347"/>
      <c r="AV10" s="1276"/>
    </row>
    <row r="11" ht="15.75" customHeight="1" spans="2:48">
      <c r="B11" s="1298" t="s">
        <v>515</v>
      </c>
      <c r="C11" s="1299">
        <v>2</v>
      </c>
      <c r="D11" s="1815" t="s">
        <v>516</v>
      </c>
      <c r="E11" s="1301">
        <v>0</v>
      </c>
      <c r="F11" s="1301">
        <v>0</v>
      </c>
      <c r="G11" s="1301">
        <v>0</v>
      </c>
      <c r="H11" s="1301">
        <v>0</v>
      </c>
      <c r="I11" s="1301">
        <v>0</v>
      </c>
      <c r="J11" s="1301">
        <v>0</v>
      </c>
      <c r="K11" s="1301">
        <v>0</v>
      </c>
      <c r="L11" s="1301">
        <v>0</v>
      </c>
      <c r="M11" s="1301">
        <v>0</v>
      </c>
      <c r="N11" s="1301" t="s">
        <v>511</v>
      </c>
      <c r="O11" s="1301" t="s">
        <v>511</v>
      </c>
      <c r="P11" s="1301">
        <v>0</v>
      </c>
      <c r="Q11" s="1301">
        <v>0</v>
      </c>
      <c r="R11" s="1301">
        <v>0</v>
      </c>
      <c r="S11" s="1301">
        <v>0</v>
      </c>
      <c r="T11" s="1301">
        <v>0</v>
      </c>
      <c r="U11" s="1301">
        <v>0</v>
      </c>
      <c r="V11" s="1301">
        <v>0</v>
      </c>
      <c r="W11" s="1301">
        <v>0</v>
      </c>
      <c r="X11" s="1301">
        <v>0</v>
      </c>
      <c r="Y11" s="1334"/>
      <c r="Z11" s="1301"/>
      <c r="AA11" s="1301"/>
      <c r="AB11" s="1301"/>
      <c r="AC11" s="1302">
        <v>0</v>
      </c>
      <c r="AD11" s="1302">
        <v>0</v>
      </c>
      <c r="AE11" s="1302">
        <v>0</v>
      </c>
      <c r="AF11" s="1302">
        <v>0</v>
      </c>
      <c r="AG11" s="1302">
        <v>0</v>
      </c>
      <c r="AH11" s="1302">
        <v>0</v>
      </c>
      <c r="AI11" s="1302">
        <v>0</v>
      </c>
      <c r="AJ11" s="1302">
        <v>0</v>
      </c>
      <c r="AK11" s="1302">
        <v>0</v>
      </c>
      <c r="AL11" s="1302">
        <v>0</v>
      </c>
      <c r="AM11" s="1302">
        <v>0</v>
      </c>
      <c r="AN11" s="1302">
        <v>0</v>
      </c>
      <c r="AO11" s="1348">
        <v>0</v>
      </c>
      <c r="AP11" s="1348">
        <v>0</v>
      </c>
      <c r="AQ11" s="1348">
        <v>0</v>
      </c>
      <c r="AR11" s="1348" t="s">
        <v>399</v>
      </c>
      <c r="AS11" s="1347"/>
      <c r="AT11" s="1347" t="s">
        <v>517</v>
      </c>
      <c r="AU11" s="1347" t="s">
        <v>518</v>
      </c>
      <c r="AV11" s="1276"/>
    </row>
    <row r="12" ht="15.75" customHeight="1" spans="2:49">
      <c r="B12" s="1298" t="s">
        <v>519</v>
      </c>
      <c r="C12" s="1299">
        <v>3</v>
      </c>
      <c r="D12" s="1302" t="s">
        <v>520</v>
      </c>
      <c r="E12" s="1301">
        <v>0</v>
      </c>
      <c r="F12" s="1301">
        <v>0</v>
      </c>
      <c r="G12" s="1301">
        <v>0</v>
      </c>
      <c r="H12" s="1301">
        <v>351.053590112449</v>
      </c>
      <c r="I12" s="1301">
        <v>350.709859074355</v>
      </c>
      <c r="J12" s="1301">
        <v>0.343731038094392</v>
      </c>
      <c r="K12" s="1301">
        <v>351.053590112449</v>
      </c>
      <c r="L12" s="1301">
        <v>350.709859074355</v>
      </c>
      <c r="M12" s="1301">
        <v>0.343731038094392</v>
      </c>
      <c r="N12" s="1301" t="s">
        <v>511</v>
      </c>
      <c r="O12" s="1301" t="s">
        <v>511</v>
      </c>
      <c r="P12" s="1301">
        <v>351.053590112449</v>
      </c>
      <c r="Q12" s="1301">
        <v>350.709859074355</v>
      </c>
      <c r="R12" s="1301">
        <v>0.343731038094392</v>
      </c>
      <c r="S12" s="1301">
        <v>300.010286844458</v>
      </c>
      <c r="T12" s="1301">
        <v>299.716534408248</v>
      </c>
      <c r="U12" s="1301">
        <v>0.293752436210693</v>
      </c>
      <c r="V12" s="1301">
        <v>351.053590112449</v>
      </c>
      <c r="W12" s="1301">
        <v>350.709859074355</v>
      </c>
      <c r="X12" s="1301">
        <v>0.343731038094392</v>
      </c>
      <c r="Y12" s="1334"/>
      <c r="Z12" s="1301"/>
      <c r="AA12" s="1301"/>
      <c r="AB12" s="1301"/>
      <c r="AC12" s="1302">
        <v>6571.72320690505</v>
      </c>
      <c r="AD12" s="1302">
        <v>6565.28856187192</v>
      </c>
      <c r="AE12" s="1302">
        <v>6.43464503312701</v>
      </c>
      <c r="AF12" s="1302">
        <v>463.03968535832</v>
      </c>
      <c r="AG12" s="1302">
        <v>462.586304119074</v>
      </c>
      <c r="AH12" s="1302">
        <v>0.453381239246503</v>
      </c>
      <c r="AI12" s="1302">
        <v>0</v>
      </c>
      <c r="AJ12" s="1302">
        <v>0</v>
      </c>
      <c r="AK12" s="1302">
        <v>0</v>
      </c>
      <c r="AL12" s="1302">
        <v>105.316077033735</v>
      </c>
      <c r="AM12" s="1302">
        <v>105.212957722306</v>
      </c>
      <c r="AN12" s="1302">
        <v>0.103119311428318</v>
      </c>
      <c r="AO12" s="1348">
        <v>7140.0789692971</v>
      </c>
      <c r="AP12" s="1348">
        <v>7133.0878237133</v>
      </c>
      <c r="AQ12" s="1348">
        <v>6.99114558380183</v>
      </c>
      <c r="AR12" s="1348" t="s">
        <v>399</v>
      </c>
      <c r="AS12" s="1347" t="s">
        <v>521</v>
      </c>
      <c r="AT12" s="1349">
        <v>163.18516846</v>
      </c>
      <c r="AU12" s="1349">
        <v>6509.78583088309</v>
      </c>
      <c r="AV12" s="1276"/>
      <c r="AW12" s="1278">
        <v>6672.97099934309</v>
      </c>
    </row>
    <row r="13" s="1277" customFormat="1" ht="15.75" customHeight="1" spans="2:49">
      <c r="B13" s="1294">
        <v>5001.02</v>
      </c>
      <c r="C13" s="1295" t="s">
        <v>522</v>
      </c>
      <c r="D13" s="1296" t="s">
        <v>480</v>
      </c>
      <c r="E13" s="1297">
        <v>0</v>
      </c>
      <c r="F13" s="1297">
        <v>0</v>
      </c>
      <c r="G13" s="1297">
        <v>0</v>
      </c>
      <c r="H13" s="1297">
        <v>872.146678790224</v>
      </c>
      <c r="I13" s="1297">
        <v>783.312314010371</v>
      </c>
      <c r="J13" s="1297">
        <v>88.8343647798533</v>
      </c>
      <c r="K13" s="1297">
        <v>872.146678790224</v>
      </c>
      <c r="L13" s="1297">
        <v>783.312314010371</v>
      </c>
      <c r="M13" s="1297">
        <v>88.8343647798532</v>
      </c>
      <c r="N13" s="1297" t="s">
        <v>511</v>
      </c>
      <c r="O13" s="1297" t="s">
        <v>511</v>
      </c>
      <c r="P13" s="1297">
        <v>872.146678790224</v>
      </c>
      <c r="Q13" s="1297">
        <v>783.312314010371</v>
      </c>
      <c r="R13" s="1297">
        <v>88.8343647798532</v>
      </c>
      <c r="S13" s="1297">
        <v>745.33627526921</v>
      </c>
      <c r="T13" s="1297">
        <v>669.418455284198</v>
      </c>
      <c r="U13" s="1297">
        <v>75.9178199850118</v>
      </c>
      <c r="V13" s="1297">
        <v>872.146678790224</v>
      </c>
      <c r="W13" s="1297">
        <v>783.312314010371</v>
      </c>
      <c r="X13" s="1297">
        <v>88.8343647798532</v>
      </c>
      <c r="Y13" s="1332"/>
      <c r="Z13" s="1333">
        <v>0</v>
      </c>
      <c r="AA13" s="1182">
        <v>0</v>
      </c>
      <c r="AB13" s="1182">
        <v>0</v>
      </c>
      <c r="AC13" s="1333">
        <v>16326.585826953</v>
      </c>
      <c r="AD13" s="1182">
        <v>14663.6065182741</v>
      </c>
      <c r="AE13" s="1182">
        <v>1662.97930867885</v>
      </c>
      <c r="AF13" s="1182">
        <v>1150.36146932431</v>
      </c>
      <c r="AG13" s="1182">
        <v>1033.18894217968</v>
      </c>
      <c r="AH13" s="1182">
        <v>117.172527144626</v>
      </c>
      <c r="AI13" s="1182">
        <v>0</v>
      </c>
      <c r="AJ13" s="1182">
        <v>0</v>
      </c>
      <c r="AK13" s="1182">
        <v>0</v>
      </c>
      <c r="AL13" s="1333">
        <v>261.644003637067</v>
      </c>
      <c r="AM13" s="1182">
        <v>234.993694203111</v>
      </c>
      <c r="AN13" s="1182">
        <v>26.650309433956</v>
      </c>
      <c r="AO13" s="1182">
        <v>17738.5912999144</v>
      </c>
      <c r="AP13" s="1182">
        <v>15931.7891546569</v>
      </c>
      <c r="AQ13" s="1182">
        <v>1806.80214525744</v>
      </c>
      <c r="AR13" s="1182"/>
      <c r="AS13" s="1347"/>
      <c r="AT13" s="1347"/>
      <c r="AU13" s="1347"/>
      <c r="AV13" s="1276"/>
      <c r="AW13" s="1278">
        <v>0</v>
      </c>
    </row>
    <row r="14" ht="15.75" customHeight="1" spans="2:49">
      <c r="B14" s="1298" t="s">
        <v>523</v>
      </c>
      <c r="C14" s="1299">
        <v>1</v>
      </c>
      <c r="D14" s="1815" t="s">
        <v>524</v>
      </c>
      <c r="E14" s="1301">
        <v>0</v>
      </c>
      <c r="F14" s="1301">
        <v>0</v>
      </c>
      <c r="G14" s="1301">
        <v>0</v>
      </c>
      <c r="H14" s="1301">
        <v>41.6420915482571</v>
      </c>
      <c r="I14" s="1301">
        <v>37.2835727256045</v>
      </c>
      <c r="J14" s="1301">
        <v>4.35851882265255</v>
      </c>
      <c r="K14" s="1301">
        <v>41.642091548257</v>
      </c>
      <c r="L14" s="1301">
        <v>37.2835727256045</v>
      </c>
      <c r="M14" s="1301">
        <v>4.35851882265255</v>
      </c>
      <c r="N14" s="1301" t="s">
        <v>511</v>
      </c>
      <c r="O14" s="1301" t="s">
        <v>511</v>
      </c>
      <c r="P14" s="1301">
        <v>41.642091548257</v>
      </c>
      <c r="Q14" s="1301">
        <v>37.2835727256045</v>
      </c>
      <c r="R14" s="1301">
        <v>4.35851882265255</v>
      </c>
      <c r="S14" s="1301">
        <v>35.5873182387738</v>
      </c>
      <c r="T14" s="1301">
        <v>31.8625294343576</v>
      </c>
      <c r="U14" s="1301">
        <v>3.7247888044162</v>
      </c>
      <c r="V14" s="1301">
        <v>41.642091548257</v>
      </c>
      <c r="W14" s="1301">
        <v>37.2835727256045</v>
      </c>
      <c r="X14" s="1301">
        <v>4.35851882265255</v>
      </c>
      <c r="Y14" s="1334"/>
      <c r="Z14" s="1301"/>
      <c r="AA14" s="1301"/>
      <c r="AB14" s="1301"/>
      <c r="AC14" s="1302">
        <v>779.539953783372</v>
      </c>
      <c r="AD14" s="1302">
        <v>697.948481423316</v>
      </c>
      <c r="AE14" s="1302">
        <v>81.5914723600558</v>
      </c>
      <c r="AF14" s="1302">
        <v>54.925918752151</v>
      </c>
      <c r="AG14" s="1302">
        <v>49.1770324250723</v>
      </c>
      <c r="AH14" s="1302">
        <v>5.74888632707872</v>
      </c>
      <c r="AI14" s="1302">
        <v>0</v>
      </c>
      <c r="AJ14" s="1302">
        <v>0</v>
      </c>
      <c r="AK14" s="1302">
        <v>0</v>
      </c>
      <c r="AL14" s="1302">
        <v>12.4926274644771</v>
      </c>
      <c r="AM14" s="1302">
        <v>11.1850718176813</v>
      </c>
      <c r="AN14" s="1302">
        <v>1.30755564679577</v>
      </c>
      <c r="AO14" s="1348">
        <v>846.9585</v>
      </c>
      <c r="AP14" s="1348">
        <v>758.31058566607</v>
      </c>
      <c r="AQ14" s="1348">
        <v>88.6479143339303</v>
      </c>
      <c r="AR14" s="1350" t="s">
        <v>399</v>
      </c>
      <c r="AS14" s="1347" t="s">
        <v>525</v>
      </c>
      <c r="AT14" s="1347">
        <v>647.55</v>
      </c>
      <c r="AU14" s="1349">
        <v>144</v>
      </c>
      <c r="AV14" s="1276"/>
      <c r="AW14" s="1278">
        <v>791.55</v>
      </c>
    </row>
    <row r="15" ht="15.75" customHeight="1" spans="2:49">
      <c r="B15" s="1298" t="s">
        <v>526</v>
      </c>
      <c r="C15" s="1299">
        <v>2</v>
      </c>
      <c r="D15" s="1815" t="s">
        <v>527</v>
      </c>
      <c r="E15" s="1301">
        <v>0</v>
      </c>
      <c r="F15" s="1301">
        <v>0</v>
      </c>
      <c r="G15" s="1301">
        <v>0</v>
      </c>
      <c r="H15" s="1301">
        <v>622.279890442498</v>
      </c>
      <c r="I15" s="1301">
        <v>558.438924348308</v>
      </c>
      <c r="J15" s="1301">
        <v>63.8409660941902</v>
      </c>
      <c r="K15" s="1301">
        <v>622.279890442498</v>
      </c>
      <c r="L15" s="1301">
        <v>558.438924348308</v>
      </c>
      <c r="M15" s="1301">
        <v>63.8409660941902</v>
      </c>
      <c r="N15" s="1301" t="s">
        <v>511</v>
      </c>
      <c r="O15" s="1301" t="s">
        <v>511</v>
      </c>
      <c r="P15" s="1301">
        <v>622.279890442498</v>
      </c>
      <c r="Q15" s="1301">
        <v>558.438924348308</v>
      </c>
      <c r="R15" s="1301">
        <v>63.8409660941902</v>
      </c>
      <c r="S15" s="1301">
        <v>531.800197141956</v>
      </c>
      <c r="T15" s="1301">
        <v>477.241727752111</v>
      </c>
      <c r="U15" s="1301">
        <v>54.5584693898453</v>
      </c>
      <c r="V15" s="1301">
        <v>622.279890442498</v>
      </c>
      <c r="W15" s="1301">
        <v>558.438924348308</v>
      </c>
      <c r="X15" s="1301">
        <v>63.8409660941902</v>
      </c>
      <c r="Y15" s="1334"/>
      <c r="Z15" s="1301"/>
      <c r="AA15" s="1301"/>
      <c r="AB15" s="1301"/>
      <c r="AC15" s="1302">
        <v>11649.0795490836</v>
      </c>
      <c r="AD15" s="1302">
        <v>10453.9766638003</v>
      </c>
      <c r="AE15" s="1302">
        <v>1195.10288528324</v>
      </c>
      <c r="AF15" s="1302">
        <v>820.787175493655</v>
      </c>
      <c r="AG15" s="1302">
        <v>736.580941215418</v>
      </c>
      <c r="AH15" s="1302">
        <v>84.2062342782369</v>
      </c>
      <c r="AI15" s="1302">
        <v>0</v>
      </c>
      <c r="AJ15" s="1302">
        <v>0</v>
      </c>
      <c r="AK15" s="1302">
        <v>0</v>
      </c>
      <c r="AL15" s="1302">
        <v>186.683967132749</v>
      </c>
      <c r="AM15" s="1302">
        <v>167.531677304492</v>
      </c>
      <c r="AN15" s="1302">
        <v>19.1522898282571</v>
      </c>
      <c r="AO15" s="1348">
        <v>12656.55069171</v>
      </c>
      <c r="AP15" s="1348">
        <v>11358.0892823202</v>
      </c>
      <c r="AQ15" s="1348">
        <v>1298.46140938973</v>
      </c>
      <c r="AR15" s="1350" t="s">
        <v>399</v>
      </c>
      <c r="AS15" s="1347" t="s">
        <v>528</v>
      </c>
      <c r="AT15" s="1347">
        <v>11358.0892823202</v>
      </c>
      <c r="AU15" s="1347"/>
      <c r="AV15" s="1276">
        <v>1298.46140938973</v>
      </c>
      <c r="AW15" s="1278">
        <v>12656.55069171</v>
      </c>
    </row>
    <row r="16" ht="15.75" customHeight="1" spans="2:49">
      <c r="B16" s="1298" t="s">
        <v>529</v>
      </c>
      <c r="C16" s="1299">
        <v>3</v>
      </c>
      <c r="D16" s="1815" t="s">
        <v>530</v>
      </c>
      <c r="E16" s="1301">
        <v>0</v>
      </c>
      <c r="F16" s="1301">
        <v>0</v>
      </c>
      <c r="G16" s="1301">
        <v>0</v>
      </c>
      <c r="H16" s="1301">
        <v>208.224696799469</v>
      </c>
      <c r="I16" s="1301">
        <v>187.589816936459</v>
      </c>
      <c r="J16" s="1301">
        <v>20.6348798630105</v>
      </c>
      <c r="K16" s="1301">
        <v>208.224696799469</v>
      </c>
      <c r="L16" s="1301">
        <v>187.589816936459</v>
      </c>
      <c r="M16" s="1301">
        <v>20.6348798630105</v>
      </c>
      <c r="N16" s="1301" t="s">
        <v>511</v>
      </c>
      <c r="O16" s="1301" t="s">
        <v>511</v>
      </c>
      <c r="P16" s="1301">
        <v>208.224696799469</v>
      </c>
      <c r="Q16" s="1301">
        <v>187.589816936459</v>
      </c>
      <c r="R16" s="1301">
        <v>20.6348798630105</v>
      </c>
      <c r="S16" s="1301">
        <v>177.94875988848</v>
      </c>
      <c r="T16" s="1301">
        <v>160.31419809773</v>
      </c>
      <c r="U16" s="1301">
        <v>17.6345617907503</v>
      </c>
      <c r="V16" s="1301">
        <v>208.224696799469</v>
      </c>
      <c r="W16" s="1301">
        <v>187.589816936459</v>
      </c>
      <c r="X16" s="1301">
        <v>20.6348798630105</v>
      </c>
      <c r="Y16" s="1334"/>
      <c r="Z16" s="1301"/>
      <c r="AA16" s="1301"/>
      <c r="AB16" s="1301"/>
      <c r="AC16" s="1302">
        <v>3897.96632408607</v>
      </c>
      <c r="AD16" s="1302">
        <v>3511.68137305051</v>
      </c>
      <c r="AE16" s="1302">
        <v>386.284951035556</v>
      </c>
      <c r="AF16" s="1302">
        <v>274.6483750785</v>
      </c>
      <c r="AG16" s="1302">
        <v>247.430968539189</v>
      </c>
      <c r="AH16" s="1302">
        <v>27.2174065393108</v>
      </c>
      <c r="AI16" s="1302">
        <v>0</v>
      </c>
      <c r="AJ16" s="1302">
        <v>0</v>
      </c>
      <c r="AK16" s="1302">
        <v>0</v>
      </c>
      <c r="AL16" s="1302">
        <v>62.4674090398408</v>
      </c>
      <c r="AM16" s="1302">
        <v>56.2769450809377</v>
      </c>
      <c r="AN16" s="1302">
        <v>6.19046395890314</v>
      </c>
      <c r="AO16" s="1348">
        <v>4235.08210820441</v>
      </c>
      <c r="AP16" s="1348">
        <v>3815.38928667064</v>
      </c>
      <c r="AQ16" s="1348">
        <v>419.69282153377</v>
      </c>
      <c r="AR16" s="1350" t="s">
        <v>399</v>
      </c>
      <c r="AS16" s="1347" t="s">
        <v>528</v>
      </c>
      <c r="AT16" s="1347">
        <v>3815.38928667064</v>
      </c>
      <c r="AU16" s="1347"/>
      <c r="AV16" s="1276">
        <v>419.69282153377</v>
      </c>
      <c r="AW16" s="1278">
        <v>4235.08210820441</v>
      </c>
    </row>
    <row r="17" ht="15.75" customHeight="1" spans="2:49">
      <c r="B17" s="1298" t="s">
        <v>531</v>
      </c>
      <c r="C17" s="1299">
        <v>4</v>
      </c>
      <c r="D17" s="1815" t="s">
        <v>532</v>
      </c>
      <c r="E17" s="1301">
        <v>0</v>
      </c>
      <c r="F17" s="1301">
        <v>0</v>
      </c>
      <c r="G17" s="1301">
        <v>0</v>
      </c>
      <c r="H17" s="1301">
        <v>0</v>
      </c>
      <c r="I17" s="1301">
        <v>0</v>
      </c>
      <c r="J17" s="1301">
        <v>0</v>
      </c>
      <c r="K17" s="1301">
        <v>0</v>
      </c>
      <c r="L17" s="1301">
        <v>0</v>
      </c>
      <c r="M17" s="1301">
        <v>0</v>
      </c>
      <c r="N17" s="1301" t="s">
        <v>511</v>
      </c>
      <c r="O17" s="1301" t="s">
        <v>511</v>
      </c>
      <c r="P17" s="1301">
        <v>0</v>
      </c>
      <c r="Q17" s="1301">
        <v>0</v>
      </c>
      <c r="R17" s="1301">
        <v>0</v>
      </c>
      <c r="S17" s="1301">
        <v>0</v>
      </c>
      <c r="T17" s="1301">
        <v>0</v>
      </c>
      <c r="U17" s="1301">
        <v>0</v>
      </c>
      <c r="V17" s="1301">
        <v>0</v>
      </c>
      <c r="W17" s="1301">
        <v>0</v>
      </c>
      <c r="X17" s="1301">
        <v>0</v>
      </c>
      <c r="Y17" s="1334"/>
      <c r="Z17" s="1301"/>
      <c r="AA17" s="1301"/>
      <c r="AB17" s="1301"/>
      <c r="AC17" s="1302">
        <v>0</v>
      </c>
      <c r="AD17" s="1302">
        <v>0</v>
      </c>
      <c r="AE17" s="1302">
        <v>0</v>
      </c>
      <c r="AF17" s="1302">
        <v>0</v>
      </c>
      <c r="AG17" s="1302">
        <v>0</v>
      </c>
      <c r="AH17" s="1302">
        <v>0</v>
      </c>
      <c r="AI17" s="1302">
        <v>0</v>
      </c>
      <c r="AJ17" s="1302">
        <v>0</v>
      </c>
      <c r="AK17" s="1302">
        <v>0</v>
      </c>
      <c r="AL17" s="1302">
        <v>0</v>
      </c>
      <c r="AM17" s="1302">
        <v>0</v>
      </c>
      <c r="AN17" s="1302">
        <v>0</v>
      </c>
      <c r="AO17" s="1348">
        <v>0</v>
      </c>
      <c r="AP17" s="1348">
        <v>0</v>
      </c>
      <c r="AQ17" s="1348">
        <v>0</v>
      </c>
      <c r="AR17" s="1350" t="s">
        <v>399</v>
      </c>
      <c r="AS17" s="1347" t="s">
        <v>528</v>
      </c>
      <c r="AT17" s="1347">
        <v>0</v>
      </c>
      <c r="AU17" s="1347"/>
      <c r="AV17" s="1276">
        <v>0</v>
      </c>
      <c r="AW17" s="1278">
        <v>0</v>
      </c>
    </row>
    <row r="18" s="1277" customFormat="1" ht="15.75" customHeight="1" spans="2:49">
      <c r="B18" s="1294">
        <v>5001.3</v>
      </c>
      <c r="C18" s="1295" t="s">
        <v>533</v>
      </c>
      <c r="D18" s="1296" t="s">
        <v>481</v>
      </c>
      <c r="E18" s="1297">
        <v>1670.48148685686</v>
      </c>
      <c r="F18" s="1297">
        <v>1498.79184903339</v>
      </c>
      <c r="G18" s="1297">
        <v>171.689637823476</v>
      </c>
      <c r="H18" s="1297">
        <v>2395.61466300935</v>
      </c>
      <c r="I18" s="1297">
        <v>2172.23322074976</v>
      </c>
      <c r="J18" s="1297">
        <v>223.381442259584</v>
      </c>
      <c r="K18" s="1297">
        <v>2892.15486524839</v>
      </c>
      <c r="L18" s="1297">
        <v>2617.13770406895</v>
      </c>
      <c r="M18" s="1297">
        <v>275.017161179449</v>
      </c>
      <c r="N18" s="1297" t="s">
        <v>511</v>
      </c>
      <c r="O18" s="1297" t="s">
        <v>511</v>
      </c>
      <c r="P18" s="1297">
        <v>4147.25712743677</v>
      </c>
      <c r="Q18" s="1297">
        <v>3743.73283105718</v>
      </c>
      <c r="R18" s="1297">
        <v>403.524296379586</v>
      </c>
      <c r="S18" s="1297">
        <v>2339.779089804</v>
      </c>
      <c r="T18" s="1297">
        <v>2118.78116460671</v>
      </c>
      <c r="U18" s="1297">
        <v>220.99792519729</v>
      </c>
      <c r="V18" s="1297">
        <v>2737.86561849323</v>
      </c>
      <c r="W18" s="1297">
        <v>2479.26743553114</v>
      </c>
      <c r="X18" s="1297">
        <v>258.598182962086</v>
      </c>
      <c r="Y18" s="1332"/>
      <c r="Z18" s="1333">
        <v>5780.61291750511</v>
      </c>
      <c r="AA18" s="1333">
        <v>5186.48999784823</v>
      </c>
      <c r="AB18" s="1333">
        <v>594.122919656877</v>
      </c>
      <c r="AC18" s="1333">
        <v>44845.906491535</v>
      </c>
      <c r="AD18" s="1333">
        <v>40664.2058924356</v>
      </c>
      <c r="AE18" s="1333">
        <v>4181.70059909942</v>
      </c>
      <c r="AF18" s="1333">
        <v>3814.75226726263</v>
      </c>
      <c r="AG18" s="1333">
        <v>3452.00463166694</v>
      </c>
      <c r="AH18" s="1333">
        <v>362.747635595693</v>
      </c>
      <c r="AI18" s="1333">
        <v>0</v>
      </c>
      <c r="AJ18" s="1333">
        <v>0</v>
      </c>
      <c r="AK18" s="1333">
        <v>0</v>
      </c>
      <c r="AL18" s="1333">
        <v>1244.17713823103</v>
      </c>
      <c r="AM18" s="1333">
        <v>1123.11984931715</v>
      </c>
      <c r="AN18" s="1333">
        <v>121.057288913876</v>
      </c>
      <c r="AO18" s="1333">
        <v>55685.4488145338</v>
      </c>
      <c r="AP18" s="1333">
        <v>50425.8203712679</v>
      </c>
      <c r="AQ18" s="1333">
        <v>5259.62844326587</v>
      </c>
      <c r="AR18" s="1182"/>
      <c r="AS18" s="1347"/>
      <c r="AT18" s="1347"/>
      <c r="AU18" s="1347"/>
      <c r="AV18" s="1276"/>
      <c r="AW18" s="1278">
        <v>0</v>
      </c>
    </row>
    <row r="19" s="1277" customFormat="1" ht="15.75" customHeight="1" spans="2:49">
      <c r="B19" s="1298" t="s">
        <v>534</v>
      </c>
      <c r="C19" s="1299">
        <v>1</v>
      </c>
      <c r="D19" s="1303" t="s">
        <v>535</v>
      </c>
      <c r="E19" s="1301">
        <v>1371.39680893312</v>
      </c>
      <c r="F19" s="1301">
        <v>1232.75831346782</v>
      </c>
      <c r="G19" s="1301">
        <v>138.6384954653</v>
      </c>
      <c r="H19" s="1301">
        <v>1292.99520263184</v>
      </c>
      <c r="I19" s="1301">
        <v>1164.37951974417</v>
      </c>
      <c r="J19" s="1301">
        <v>128.61568288767</v>
      </c>
      <c r="K19" s="1301">
        <v>1292.10243471744</v>
      </c>
      <c r="L19" s="1301">
        <v>1163.1064469136</v>
      </c>
      <c r="M19" s="1301">
        <v>128.995987803841</v>
      </c>
      <c r="N19" s="1301" t="s">
        <v>511</v>
      </c>
      <c r="O19" s="1301" t="s">
        <v>511</v>
      </c>
      <c r="P19" s="1301">
        <v>1656.6322722</v>
      </c>
      <c r="Q19" s="1301">
        <v>1486.91437239547</v>
      </c>
      <c r="R19" s="1301">
        <v>169.717899804528</v>
      </c>
      <c r="S19" s="1301">
        <v>1308.92910955516</v>
      </c>
      <c r="T19" s="1301">
        <v>1178.31692228393</v>
      </c>
      <c r="U19" s="1301">
        <v>130.612187271231</v>
      </c>
      <c r="V19" s="1301">
        <v>1531.6283582978</v>
      </c>
      <c r="W19" s="1301">
        <v>1378.79400806175</v>
      </c>
      <c r="X19" s="1301">
        <v>152.834350236055</v>
      </c>
      <c r="Y19" s="1334"/>
      <c r="Z19" s="1335">
        <v>4745.64619309868</v>
      </c>
      <c r="AA19" s="1335">
        <v>4265.89500515938</v>
      </c>
      <c r="AB19" s="1335">
        <v>479.7511879393</v>
      </c>
      <c r="AC19" s="1335">
        <v>24204.870193268</v>
      </c>
      <c r="AD19" s="1335">
        <v>21797.1846096108</v>
      </c>
      <c r="AE19" s="1335">
        <v>2407.68558365719</v>
      </c>
      <c r="AF19" s="1302">
        <v>1704.28311139231</v>
      </c>
      <c r="AG19" s="1335">
        <v>1534.13740347904</v>
      </c>
      <c r="AH19" s="1335">
        <v>170.145707913266</v>
      </c>
      <c r="AI19" s="1335">
        <v>0</v>
      </c>
      <c r="AJ19" s="1335">
        <v>0</v>
      </c>
      <c r="AK19" s="1335">
        <v>0</v>
      </c>
      <c r="AL19" s="1302">
        <v>496.98968166</v>
      </c>
      <c r="AM19" s="1302">
        <v>446.074311718642</v>
      </c>
      <c r="AN19" s="1302">
        <v>50.9153699413583</v>
      </c>
      <c r="AO19" s="1351">
        <v>31151.789179419</v>
      </c>
      <c r="AP19" s="1351">
        <v>28043.2913299679</v>
      </c>
      <c r="AQ19" s="1351">
        <v>3108.49784945111</v>
      </c>
      <c r="AR19" s="1352" t="s">
        <v>536</v>
      </c>
      <c r="AS19" s="1347" t="s">
        <v>528</v>
      </c>
      <c r="AT19" s="1347">
        <v>28043.2913299679</v>
      </c>
      <c r="AU19" s="1347"/>
      <c r="AV19" s="1276">
        <v>3108.49784945111</v>
      </c>
      <c r="AW19" s="1278">
        <v>31151.789179419</v>
      </c>
    </row>
    <row r="20" s="1277" customFormat="1" ht="15.75" customHeight="1" spans="2:49">
      <c r="B20" s="1298" t="s">
        <v>537</v>
      </c>
      <c r="C20" s="1299">
        <v>2</v>
      </c>
      <c r="D20" s="1303" t="s">
        <v>538</v>
      </c>
      <c r="E20" s="1301">
        <v>299.08467792374</v>
      </c>
      <c r="F20" s="1301">
        <v>266.033535565564</v>
      </c>
      <c r="G20" s="1301">
        <v>33.0511423581757</v>
      </c>
      <c r="H20" s="1301">
        <v>327.210465878205</v>
      </c>
      <c r="I20" s="1301">
        <v>288.868531694268</v>
      </c>
      <c r="J20" s="1301">
        <v>38.3419341839369</v>
      </c>
      <c r="K20" s="1301">
        <v>443.363064366945</v>
      </c>
      <c r="L20" s="1301">
        <v>392.213414778866</v>
      </c>
      <c r="M20" s="1301">
        <v>51.1496495880788</v>
      </c>
      <c r="N20" s="1301" t="s">
        <v>511</v>
      </c>
      <c r="O20" s="1301" t="s">
        <v>511</v>
      </c>
      <c r="P20" s="1301">
        <v>393.108049</v>
      </c>
      <c r="Q20" s="1301">
        <v>349.0447</v>
      </c>
      <c r="R20" s="1301">
        <v>44.063349</v>
      </c>
      <c r="S20" s="1301">
        <v>330.388974554304</v>
      </c>
      <c r="T20" s="1301">
        <v>292.034380600931</v>
      </c>
      <c r="U20" s="1301">
        <v>38.3545939533731</v>
      </c>
      <c r="V20" s="1301">
        <v>386.600862493064</v>
      </c>
      <c r="W20" s="1301">
        <v>341.720675062632</v>
      </c>
      <c r="X20" s="1301">
        <v>44.8801874304317</v>
      </c>
      <c r="Y20" s="1334"/>
      <c r="Z20" s="1335">
        <v>1034.96672440643</v>
      </c>
      <c r="AA20" s="1335">
        <v>920.59499268885</v>
      </c>
      <c r="AB20" s="1335">
        <v>114.371731717576</v>
      </c>
      <c r="AC20" s="1335">
        <v>6125.37992124</v>
      </c>
      <c r="AD20" s="1335">
        <v>5407.6189133167</v>
      </c>
      <c r="AE20" s="1335">
        <v>717.761007923299</v>
      </c>
      <c r="AF20" s="1302">
        <v>584.7958819</v>
      </c>
      <c r="AG20" s="1335">
        <v>517.329494093324</v>
      </c>
      <c r="AH20" s="1335">
        <v>67.4663878066759</v>
      </c>
      <c r="AI20" s="1335">
        <v>0</v>
      </c>
      <c r="AJ20" s="1335">
        <v>0</v>
      </c>
      <c r="AK20" s="1335">
        <v>0</v>
      </c>
      <c r="AL20" s="1302">
        <v>117.9324147</v>
      </c>
      <c r="AM20" s="1302">
        <v>104.71341</v>
      </c>
      <c r="AN20" s="1302">
        <v>13.2190047</v>
      </c>
      <c r="AO20" s="1351">
        <v>7863.07494224643</v>
      </c>
      <c r="AP20" s="1351">
        <v>6950.25681009888</v>
      </c>
      <c r="AQ20" s="1351">
        <v>912.818132147551</v>
      </c>
      <c r="AR20" s="1352" t="s">
        <v>536</v>
      </c>
      <c r="AS20" s="1347" t="s">
        <v>539</v>
      </c>
      <c r="AT20" s="1347">
        <v>6950.25681009888</v>
      </c>
      <c r="AU20" s="1347"/>
      <c r="AV20" s="1276">
        <v>912.818132147551</v>
      </c>
      <c r="AW20" s="1278">
        <v>7863.07494224643</v>
      </c>
    </row>
    <row r="21" s="1277" customFormat="1" ht="15.75" customHeight="1" spans="2:49">
      <c r="B21" s="1298" t="s">
        <v>540</v>
      </c>
      <c r="C21" s="1299">
        <v>3</v>
      </c>
      <c r="D21" s="1303" t="s">
        <v>541</v>
      </c>
      <c r="E21" s="1301">
        <v>0</v>
      </c>
      <c r="F21" s="1301">
        <v>0</v>
      </c>
      <c r="G21" s="1301">
        <v>0</v>
      </c>
      <c r="H21" s="1301">
        <v>559.54706840806</v>
      </c>
      <c r="I21" s="1301">
        <v>503.123243220082</v>
      </c>
      <c r="J21" s="1301">
        <v>56.4238251879772</v>
      </c>
      <c r="K21" s="1301">
        <v>940.82744007276</v>
      </c>
      <c r="L21" s="1301">
        <v>845.955916285231</v>
      </c>
      <c r="M21" s="1301">
        <v>94.8715237875292</v>
      </c>
      <c r="N21" s="1301" t="s">
        <v>511</v>
      </c>
      <c r="O21" s="1301" t="s">
        <v>511</v>
      </c>
      <c r="P21" s="1301">
        <v>1881.65488014552</v>
      </c>
      <c r="Q21" s="1301">
        <v>1691.91183257046</v>
      </c>
      <c r="R21" s="1301">
        <v>189.743047575058</v>
      </c>
      <c r="S21" s="1301">
        <v>515.985472073908</v>
      </c>
      <c r="T21" s="1301">
        <v>463.954328101223</v>
      </c>
      <c r="U21" s="1301">
        <v>52.0311439726859</v>
      </c>
      <c r="V21" s="1301">
        <v>603.774471611117</v>
      </c>
      <c r="W21" s="1301">
        <v>542.890826315517</v>
      </c>
      <c r="X21" s="1301">
        <v>60.8836452955996</v>
      </c>
      <c r="Y21" s="1334"/>
      <c r="Z21" s="1335">
        <v>0</v>
      </c>
      <c r="AA21" s="1335"/>
      <c r="AB21" s="1335"/>
      <c r="AC21" s="1335">
        <v>10474.7211205989</v>
      </c>
      <c r="AD21" s="1302">
        <v>9418.46711307994</v>
      </c>
      <c r="AE21" s="1302">
        <v>1056.25400751893</v>
      </c>
      <c r="AF21" s="1302">
        <v>1240.95139345597</v>
      </c>
      <c r="AG21" s="1302">
        <v>1115.81585358022</v>
      </c>
      <c r="AH21" s="1302">
        <v>125.135539875751</v>
      </c>
      <c r="AI21" s="1302">
        <v>0</v>
      </c>
      <c r="AJ21" s="1302">
        <v>0</v>
      </c>
      <c r="AK21" s="1302">
        <v>0</v>
      </c>
      <c r="AL21" s="1302">
        <v>564.496464043656</v>
      </c>
      <c r="AM21" s="1302">
        <v>507.573549771139</v>
      </c>
      <c r="AN21" s="1302">
        <v>56.9229142725175</v>
      </c>
      <c r="AO21" s="1351">
        <v>12280.1689780985</v>
      </c>
      <c r="AP21" s="1351">
        <v>11041.8565164313</v>
      </c>
      <c r="AQ21" s="1351">
        <v>1238.3124616672</v>
      </c>
      <c r="AR21" s="1352" t="s">
        <v>167</v>
      </c>
      <c r="AS21" s="1347" t="s">
        <v>542</v>
      </c>
      <c r="AT21" s="1349">
        <v>12280.1689780985</v>
      </c>
      <c r="AU21" s="1347"/>
      <c r="AW21" s="1278">
        <v>12280.1689780985</v>
      </c>
    </row>
    <row r="22" ht="15.75" customHeight="1" spans="2:49">
      <c r="B22" s="1298" t="s">
        <v>543</v>
      </c>
      <c r="C22" s="1299">
        <v>4</v>
      </c>
      <c r="D22" s="1303" t="s">
        <v>544</v>
      </c>
      <c r="E22" s="1301">
        <v>0</v>
      </c>
      <c r="F22" s="1301">
        <v>0</v>
      </c>
      <c r="G22" s="1301">
        <v>0</v>
      </c>
      <c r="H22" s="1304">
        <v>215.861926091247</v>
      </c>
      <c r="I22" s="1301">
        <v>215.861926091247</v>
      </c>
      <c r="J22" s="1301">
        <v>0</v>
      </c>
      <c r="K22" s="1301">
        <v>215.861926091247</v>
      </c>
      <c r="L22" s="1301">
        <v>215.861926091247</v>
      </c>
      <c r="M22" s="1301">
        <v>0</v>
      </c>
      <c r="N22" s="1301" t="s">
        <v>511</v>
      </c>
      <c r="O22" s="1301" t="s">
        <v>511</v>
      </c>
      <c r="P22" s="1301">
        <v>215.861926091247</v>
      </c>
      <c r="Q22" s="1301">
        <v>215.861926091247</v>
      </c>
      <c r="R22" s="1301">
        <v>0</v>
      </c>
      <c r="S22" s="1301">
        <v>184.475533620631</v>
      </c>
      <c r="T22" s="1301">
        <v>184.475533620631</v>
      </c>
      <c r="U22" s="1301">
        <v>0</v>
      </c>
      <c r="V22" s="1301">
        <v>215.861926091247</v>
      </c>
      <c r="W22" s="1301">
        <v>215.861926091247</v>
      </c>
      <c r="X22" s="1301">
        <v>0</v>
      </c>
      <c r="Y22" s="1334"/>
      <c r="Z22" s="1335">
        <v>0</v>
      </c>
      <c r="AA22" s="1335"/>
      <c r="AB22" s="1335"/>
      <c r="AC22" s="1335">
        <v>4040.93525642814</v>
      </c>
      <c r="AD22" s="1302">
        <v>4040.93525642814</v>
      </c>
      <c r="AE22" s="1302">
        <v>0</v>
      </c>
      <c r="AF22" s="1302">
        <v>284.721880514354</v>
      </c>
      <c r="AG22" s="1302">
        <v>284.721880514354</v>
      </c>
      <c r="AH22" s="1302">
        <v>0</v>
      </c>
      <c r="AI22" s="1302">
        <v>0</v>
      </c>
      <c r="AJ22" s="1302">
        <v>0</v>
      </c>
      <c r="AK22" s="1302">
        <v>0</v>
      </c>
      <c r="AL22" s="1302">
        <v>64.758577827374</v>
      </c>
      <c r="AM22" s="1302">
        <v>64.758577827374</v>
      </c>
      <c r="AN22" s="1302">
        <v>0</v>
      </c>
      <c r="AO22" s="1351">
        <v>4390.41571476987</v>
      </c>
      <c r="AP22" s="1351">
        <v>4390.41571476987</v>
      </c>
      <c r="AQ22" s="1351">
        <v>0</v>
      </c>
      <c r="AR22" s="1350" t="s">
        <v>399</v>
      </c>
      <c r="AS22" s="1347" t="s">
        <v>528</v>
      </c>
      <c r="AT22" s="1347">
        <v>4390.41571476987</v>
      </c>
      <c r="AU22" s="1347"/>
      <c r="AV22" s="1276">
        <v>0</v>
      </c>
      <c r="AW22" s="1278">
        <v>4390.41571476987</v>
      </c>
    </row>
    <row r="23" ht="15.75" customHeight="1" spans="2:49">
      <c r="B23" s="1298" t="s">
        <v>545</v>
      </c>
      <c r="C23" s="1299">
        <v>5</v>
      </c>
      <c r="D23" s="1303" t="s">
        <v>546</v>
      </c>
      <c r="E23" s="1301">
        <v>0</v>
      </c>
      <c r="F23" s="1301">
        <v>0</v>
      </c>
      <c r="G23" s="1301">
        <v>0</v>
      </c>
      <c r="H23" s="1301">
        <v>0</v>
      </c>
      <c r="I23" s="1301">
        <v>0</v>
      </c>
      <c r="J23" s="1301">
        <v>0</v>
      </c>
      <c r="K23" s="1301">
        <v>0</v>
      </c>
      <c r="L23" s="1301">
        <v>0</v>
      </c>
      <c r="M23" s="1301">
        <v>0</v>
      </c>
      <c r="N23" s="1301" t="s">
        <v>511</v>
      </c>
      <c r="O23" s="1301" t="s">
        <v>511</v>
      </c>
      <c r="P23" s="1301">
        <v>0</v>
      </c>
      <c r="Q23" s="1301">
        <v>0</v>
      </c>
      <c r="R23" s="1301">
        <v>0</v>
      </c>
      <c r="S23" s="1301">
        <v>0</v>
      </c>
      <c r="T23" s="1301">
        <v>0</v>
      </c>
      <c r="U23" s="1301">
        <v>0</v>
      </c>
      <c r="V23" s="1301">
        <v>0</v>
      </c>
      <c r="W23" s="1301">
        <v>0</v>
      </c>
      <c r="X23" s="1301">
        <v>0</v>
      </c>
      <c r="Y23" s="1334"/>
      <c r="Z23" s="1335">
        <v>0</v>
      </c>
      <c r="AA23" s="1335"/>
      <c r="AB23" s="1335"/>
      <c r="AC23" s="1335">
        <v>0</v>
      </c>
      <c r="AD23" s="1302">
        <v>0</v>
      </c>
      <c r="AE23" s="1302">
        <v>0</v>
      </c>
      <c r="AF23" s="1302">
        <v>0</v>
      </c>
      <c r="AG23" s="1302">
        <v>0</v>
      </c>
      <c r="AH23" s="1302">
        <v>0</v>
      </c>
      <c r="AI23" s="1302">
        <v>0</v>
      </c>
      <c r="AJ23" s="1302">
        <v>0</v>
      </c>
      <c r="AK23" s="1302">
        <v>0</v>
      </c>
      <c r="AL23" s="1302">
        <v>0</v>
      </c>
      <c r="AM23" s="1302">
        <v>0</v>
      </c>
      <c r="AN23" s="1302">
        <v>0</v>
      </c>
      <c r="AO23" s="1351">
        <v>0</v>
      </c>
      <c r="AP23" s="1351">
        <v>0</v>
      </c>
      <c r="AQ23" s="1351">
        <v>0</v>
      </c>
      <c r="AR23" s="1350" t="s">
        <v>399</v>
      </c>
      <c r="AS23" s="1347"/>
      <c r="AT23" s="1347"/>
      <c r="AU23" s="1347"/>
      <c r="AW23" s="1278">
        <v>0</v>
      </c>
    </row>
    <row r="24" s="1277" customFormat="1" ht="15.75" customHeight="1" spans="2:49">
      <c r="B24" s="1294">
        <v>5001.04</v>
      </c>
      <c r="C24" s="1295" t="s">
        <v>547</v>
      </c>
      <c r="D24" s="1296" t="s">
        <v>482</v>
      </c>
      <c r="E24" s="1297">
        <v>0</v>
      </c>
      <c r="F24" s="1297">
        <v>0</v>
      </c>
      <c r="G24" s="1297">
        <v>0</v>
      </c>
      <c r="H24" s="1297">
        <v>1093.43835</v>
      </c>
      <c r="I24" s="1297">
        <v>982.795</v>
      </c>
      <c r="J24" s="1297">
        <v>110.64335</v>
      </c>
      <c r="K24" s="1297">
        <v>650</v>
      </c>
      <c r="L24" s="1297">
        <v>585.585585585586</v>
      </c>
      <c r="M24" s="1297">
        <v>64.4144144144144</v>
      </c>
      <c r="N24" s="1297" t="s">
        <v>511</v>
      </c>
      <c r="O24" s="1297" t="s">
        <v>511</v>
      </c>
      <c r="P24" s="1297">
        <v>0</v>
      </c>
      <c r="Q24" s="1297">
        <v>0</v>
      </c>
      <c r="R24" s="1297">
        <v>0</v>
      </c>
      <c r="S24" s="1297">
        <v>896.092912090283</v>
      </c>
      <c r="T24" s="1297">
        <v>805.493911613893</v>
      </c>
      <c r="U24" s="1297">
        <v>90.5990004763896</v>
      </c>
      <c r="V24" s="1297">
        <v>1048.55282521265</v>
      </c>
      <c r="W24" s="1297">
        <v>942.539445763675</v>
      </c>
      <c r="X24" s="1297">
        <v>106.013379448971</v>
      </c>
      <c r="Y24" s="1332"/>
      <c r="Z24" s="1333">
        <v>0</v>
      </c>
      <c r="AA24" s="1333"/>
      <c r="AB24" s="1333"/>
      <c r="AC24" s="1182">
        <v>20469.165912</v>
      </c>
      <c r="AD24" s="1333">
        <v>18397.9224</v>
      </c>
      <c r="AE24" s="1333">
        <v>2071.243512</v>
      </c>
      <c r="AF24" s="1333">
        <v>857.35</v>
      </c>
      <c r="AG24" s="1333">
        <v>772.387387387387</v>
      </c>
      <c r="AH24" s="1333">
        <v>84.9626126126126</v>
      </c>
      <c r="AI24" s="1333">
        <v>0</v>
      </c>
      <c r="AJ24" s="1333">
        <v>0</v>
      </c>
      <c r="AK24" s="1333">
        <v>0</v>
      </c>
      <c r="AL24" s="1182">
        <v>0</v>
      </c>
      <c r="AM24" s="1333">
        <v>0</v>
      </c>
      <c r="AN24" s="1333">
        <v>0</v>
      </c>
      <c r="AO24" s="1333">
        <v>21326.515912</v>
      </c>
      <c r="AP24" s="1333">
        <v>19170.3097873874</v>
      </c>
      <c r="AQ24" s="1333">
        <v>2156.20612461261</v>
      </c>
      <c r="AR24" s="1182" t="s">
        <v>536</v>
      </c>
      <c r="AS24" s="1347" t="s">
        <v>528</v>
      </c>
      <c r="AT24" s="1347">
        <v>19170.3097873874</v>
      </c>
      <c r="AU24" s="1347"/>
      <c r="AV24" s="1277">
        <v>2156.20612461261</v>
      </c>
      <c r="AW24" s="1278">
        <v>21326.515912</v>
      </c>
    </row>
    <row r="25" s="1277" customFormat="1" ht="15.75" customHeight="1" spans="2:49">
      <c r="B25" s="1294">
        <v>5001.05</v>
      </c>
      <c r="C25" s="1295" t="s">
        <v>548</v>
      </c>
      <c r="D25" s="1296" t="s">
        <v>483</v>
      </c>
      <c r="E25" s="1297">
        <v>89.1875148497682</v>
      </c>
      <c r="F25" s="1297">
        <v>80.3491124772687</v>
      </c>
      <c r="G25" s="1297">
        <v>8.83840237249955</v>
      </c>
      <c r="H25" s="1297">
        <v>602.505945391026</v>
      </c>
      <c r="I25" s="1297">
        <v>539.429444074844</v>
      </c>
      <c r="J25" s="1297">
        <v>63.0765013161816</v>
      </c>
      <c r="K25" s="1297">
        <v>1465.93339952761</v>
      </c>
      <c r="L25" s="1297">
        <v>1320.04026663451</v>
      </c>
      <c r="M25" s="1297">
        <v>145.893132893102</v>
      </c>
      <c r="N25" s="1297" t="s">
        <v>511</v>
      </c>
      <c r="O25" s="1297" t="s">
        <v>511</v>
      </c>
      <c r="P25" s="1297">
        <v>763.405750205128</v>
      </c>
      <c r="Q25" s="1297">
        <v>685.281225641026</v>
      </c>
      <c r="R25" s="1297">
        <v>78.1245245641026</v>
      </c>
      <c r="S25" s="1297">
        <v>577.749884972025</v>
      </c>
      <c r="T25" s="1297">
        <v>517.78011680585</v>
      </c>
      <c r="U25" s="1297">
        <v>59.9697681661759</v>
      </c>
      <c r="V25" s="1297">
        <v>676.047389707132</v>
      </c>
      <c r="W25" s="1297">
        <v>605.874454524206</v>
      </c>
      <c r="X25" s="1297">
        <v>70.1729351829263</v>
      </c>
      <c r="Y25" s="1332"/>
      <c r="Z25" s="1333">
        <v>308.628682494896</v>
      </c>
      <c r="AA25" s="1333">
        <v>278.04385810351</v>
      </c>
      <c r="AB25" s="1333">
        <v>30.5848243913861</v>
      </c>
      <c r="AC25" s="1182">
        <v>11278.91129772</v>
      </c>
      <c r="AD25" s="1333">
        <v>10098.1191930811</v>
      </c>
      <c r="AE25" s="1333">
        <v>1180.79210463892</v>
      </c>
      <c r="AF25" s="1333">
        <v>1933.56615397692</v>
      </c>
      <c r="AG25" s="1333">
        <v>1741.13311169092</v>
      </c>
      <c r="AH25" s="1333">
        <v>192.433042286001</v>
      </c>
      <c r="AI25" s="1333">
        <v>0</v>
      </c>
      <c r="AJ25" s="1333">
        <v>0</v>
      </c>
      <c r="AK25" s="1333">
        <v>0</v>
      </c>
      <c r="AL25" s="1182">
        <v>229.021725061538</v>
      </c>
      <c r="AM25" s="1333">
        <v>205.584367692308</v>
      </c>
      <c r="AN25" s="1333">
        <v>23.4373573692308</v>
      </c>
      <c r="AO25" s="1333">
        <v>13750.1278592534</v>
      </c>
      <c r="AP25" s="1333">
        <v>12322.8805305678</v>
      </c>
      <c r="AQ25" s="1333">
        <v>1427.24732868554</v>
      </c>
      <c r="AR25" s="1182" t="s">
        <v>536</v>
      </c>
      <c r="AS25" s="1347"/>
      <c r="AT25" s="1347"/>
      <c r="AU25" s="1347"/>
      <c r="AV25" s="1276"/>
      <c r="AW25" s="1278"/>
    </row>
    <row r="26" ht="15.75" customHeight="1" spans="2:49">
      <c r="B26" s="1298" t="s">
        <v>549</v>
      </c>
      <c r="C26" s="1299">
        <v>1</v>
      </c>
      <c r="D26" s="1303" t="s">
        <v>550</v>
      </c>
      <c r="E26" s="1301">
        <v>82.5244023059431</v>
      </c>
      <c r="F26" s="1301">
        <v>74.3463083837325</v>
      </c>
      <c r="G26" s="1301">
        <v>8.17809392221058</v>
      </c>
      <c r="H26" s="1301">
        <v>432.045376778846</v>
      </c>
      <c r="I26" s="1301">
        <v>386.58534752541</v>
      </c>
      <c r="J26" s="1301">
        <v>45.4600292534361</v>
      </c>
      <c r="K26" s="1301">
        <v>1258.46191156471</v>
      </c>
      <c r="L26" s="1301">
        <v>1133.74946987811</v>
      </c>
      <c r="M26" s="1301">
        <v>124.712441686592</v>
      </c>
      <c r="N26" s="1301" t="s">
        <v>511</v>
      </c>
      <c r="O26" s="1301" t="s">
        <v>511</v>
      </c>
      <c r="P26" s="1301">
        <v>727.236326205128</v>
      </c>
      <c r="Q26" s="1301">
        <v>652.696158974359</v>
      </c>
      <c r="R26" s="1301">
        <v>74.5401672307692</v>
      </c>
      <c r="S26" s="1301">
        <v>430.747104211554</v>
      </c>
      <c r="T26" s="1301">
        <v>385.949031252661</v>
      </c>
      <c r="U26" s="1301">
        <v>44.7980729588932</v>
      </c>
      <c r="V26" s="1301">
        <v>504.033774823213</v>
      </c>
      <c r="W26" s="1301">
        <v>451.613824468336</v>
      </c>
      <c r="X26" s="1301">
        <v>52.4199503548769</v>
      </c>
      <c r="Y26" s="1334"/>
      <c r="Z26" s="1302">
        <v>285.571333613947</v>
      </c>
      <c r="AA26" s="1302">
        <v>257.271471724276</v>
      </c>
      <c r="AB26" s="1302">
        <v>28.2998618896704</v>
      </c>
      <c r="AC26" s="1336">
        <v>8087.8894533</v>
      </c>
      <c r="AD26" s="1302">
        <v>7236.87770567568</v>
      </c>
      <c r="AE26" s="1302">
        <v>851.011747624324</v>
      </c>
      <c r="AF26" s="1302">
        <v>1659.91126135385</v>
      </c>
      <c r="AG26" s="1302">
        <v>1495.41555076923</v>
      </c>
      <c r="AH26" s="1302">
        <v>164.495710584615</v>
      </c>
      <c r="AI26" s="1302">
        <v>0</v>
      </c>
      <c r="AJ26" s="1302">
        <v>0</v>
      </c>
      <c r="AK26" s="1302">
        <v>0</v>
      </c>
      <c r="AL26" s="1336">
        <v>218.170897861538</v>
      </c>
      <c r="AM26" s="1302">
        <v>195.808847692308</v>
      </c>
      <c r="AN26" s="1302">
        <v>22.3620501692308</v>
      </c>
      <c r="AO26" s="1351">
        <v>10251.5429461293</v>
      </c>
      <c r="AP26" s="1351">
        <v>9185.37357586149</v>
      </c>
      <c r="AQ26" s="1351">
        <v>1066.16937026784</v>
      </c>
      <c r="AR26" s="1352" t="s">
        <v>536</v>
      </c>
      <c r="AS26" s="1347" t="s">
        <v>528</v>
      </c>
      <c r="AT26" s="1347">
        <v>9185.37357586149</v>
      </c>
      <c r="AU26" s="1347"/>
      <c r="AV26" s="1276">
        <v>1066.16937026784</v>
      </c>
      <c r="AW26" s="1278">
        <v>10251.5429461293</v>
      </c>
    </row>
    <row r="27" ht="15.75" customHeight="1" spans="2:49">
      <c r="B27" s="1298" t="s">
        <v>551</v>
      </c>
      <c r="C27" s="1299">
        <v>2</v>
      </c>
      <c r="D27" s="1303" t="s">
        <v>552</v>
      </c>
      <c r="E27" s="1301">
        <v>0</v>
      </c>
      <c r="F27" s="1301">
        <v>0</v>
      </c>
      <c r="G27" s="1301">
        <v>0</v>
      </c>
      <c r="H27" s="1301">
        <v>108.724622227564</v>
      </c>
      <c r="I27" s="1301">
        <v>97.4353811648187</v>
      </c>
      <c r="J27" s="1301">
        <v>11.2892410627454</v>
      </c>
      <c r="K27" s="1301">
        <v>124.22186504928</v>
      </c>
      <c r="L27" s="1301">
        <v>111.310315622673</v>
      </c>
      <c r="M27" s="1301">
        <v>12.9115494266063</v>
      </c>
      <c r="N27" s="1301" t="s">
        <v>511</v>
      </c>
      <c r="O27" s="1301" t="s">
        <v>511</v>
      </c>
      <c r="P27" s="1301">
        <v>0</v>
      </c>
      <c r="Q27" s="1301">
        <v>0</v>
      </c>
      <c r="R27" s="1301">
        <v>0</v>
      </c>
      <c r="S27" s="1301">
        <v>92.4043971815319</v>
      </c>
      <c r="T27" s="1301">
        <v>82.8090093201972</v>
      </c>
      <c r="U27" s="1301">
        <v>9.59538786133462</v>
      </c>
      <c r="V27" s="1301">
        <v>108.125943659964</v>
      </c>
      <c r="W27" s="1301">
        <v>96.8980108024835</v>
      </c>
      <c r="X27" s="1301">
        <v>11.2279328574801</v>
      </c>
      <c r="Y27" s="1334"/>
      <c r="Z27" s="1302">
        <v>0</v>
      </c>
      <c r="AA27" s="1302">
        <v>0</v>
      </c>
      <c r="AB27" s="1302">
        <v>0</v>
      </c>
      <c r="AC27" s="1336">
        <v>2035.3249281</v>
      </c>
      <c r="AD27" s="1302">
        <v>1823.99033540541</v>
      </c>
      <c r="AE27" s="1302">
        <v>211.334592694595</v>
      </c>
      <c r="AF27" s="1302">
        <v>163.84864</v>
      </c>
      <c r="AG27" s="1302">
        <v>146.818306306306</v>
      </c>
      <c r="AH27" s="1302">
        <v>17.0303336936937</v>
      </c>
      <c r="AI27" s="1302">
        <v>0</v>
      </c>
      <c r="AJ27" s="1302">
        <v>0</v>
      </c>
      <c r="AK27" s="1302">
        <v>0</v>
      </c>
      <c r="AL27" s="1336">
        <v>0</v>
      </c>
      <c r="AM27" s="1302">
        <v>0</v>
      </c>
      <c r="AN27" s="1302">
        <v>0</v>
      </c>
      <c r="AO27" s="1351">
        <v>2199.1735681</v>
      </c>
      <c r="AP27" s="1351">
        <v>1970.80864171171</v>
      </c>
      <c r="AQ27" s="1351">
        <v>228.364926388288</v>
      </c>
      <c r="AR27" s="1352" t="s">
        <v>536</v>
      </c>
      <c r="AS27" s="1347" t="s">
        <v>528</v>
      </c>
      <c r="AT27" s="1347">
        <v>1970.80864171171</v>
      </c>
      <c r="AU27" s="1347"/>
      <c r="AV27" s="1276">
        <v>228.364926388288</v>
      </c>
      <c r="AW27" s="1278">
        <v>2199.1735681</v>
      </c>
    </row>
    <row r="28" ht="15.75" customHeight="1" spans="2:49">
      <c r="B28" s="1298" t="s">
        <v>553</v>
      </c>
      <c r="C28" s="1299">
        <v>3</v>
      </c>
      <c r="D28" s="1303" t="s">
        <v>554</v>
      </c>
      <c r="E28" s="1301">
        <v>6.66311254382509</v>
      </c>
      <c r="F28" s="1301">
        <v>6.00280409353611</v>
      </c>
      <c r="G28" s="1301">
        <v>0.660308450288972</v>
      </c>
      <c r="H28" s="1301">
        <v>42.3673002307692</v>
      </c>
      <c r="I28" s="1301">
        <v>37.9594846153846</v>
      </c>
      <c r="J28" s="1301">
        <v>4.40781561538462</v>
      </c>
      <c r="K28" s="1301">
        <v>46.5452431387415</v>
      </c>
      <c r="L28" s="1301">
        <v>41.9134723275209</v>
      </c>
      <c r="M28" s="1301">
        <v>4.63177081122062</v>
      </c>
      <c r="N28" s="1301" t="s">
        <v>511</v>
      </c>
      <c r="O28" s="1301" t="s">
        <v>511</v>
      </c>
      <c r="P28" s="1301">
        <v>36.169424</v>
      </c>
      <c r="Q28" s="1301">
        <v>32.5850666666667</v>
      </c>
      <c r="R28" s="1301">
        <v>3.58435733333333</v>
      </c>
      <c r="S28" s="1301">
        <v>37.3293213963148</v>
      </c>
      <c r="T28" s="1301">
        <v>33.4643625549512</v>
      </c>
      <c r="U28" s="1301">
        <v>3.86495884136361</v>
      </c>
      <c r="V28" s="1301">
        <v>43.6804765278996</v>
      </c>
      <c r="W28" s="1301">
        <v>39.1579393470295</v>
      </c>
      <c r="X28" s="1301">
        <v>4.52253718087004</v>
      </c>
      <c r="Y28" s="1334"/>
      <c r="Z28" s="1302">
        <v>23.0573488809493</v>
      </c>
      <c r="AA28" s="1302">
        <v>20.7723863792336</v>
      </c>
      <c r="AB28" s="1302">
        <v>2.2849625017157</v>
      </c>
      <c r="AC28" s="1336">
        <v>793.11586032</v>
      </c>
      <c r="AD28" s="1302">
        <v>710.601552</v>
      </c>
      <c r="AE28" s="1302">
        <v>82.51430832</v>
      </c>
      <c r="AF28" s="1302">
        <v>61.3931757</v>
      </c>
      <c r="AG28" s="1302">
        <v>55.28387</v>
      </c>
      <c r="AH28" s="1302">
        <v>6.1093057</v>
      </c>
      <c r="AI28" s="1302">
        <v>0</v>
      </c>
      <c r="AJ28" s="1302">
        <v>0</v>
      </c>
      <c r="AK28" s="1302">
        <v>0</v>
      </c>
      <c r="AL28" s="1336">
        <v>10.8508272</v>
      </c>
      <c r="AM28" s="1302">
        <v>9.77552</v>
      </c>
      <c r="AN28" s="1302">
        <v>1.0753072</v>
      </c>
      <c r="AO28" s="1351">
        <v>888.417212100949</v>
      </c>
      <c r="AP28" s="1351">
        <v>796.433328379234</v>
      </c>
      <c r="AQ28" s="1351">
        <v>91.9838837217157</v>
      </c>
      <c r="AR28" s="1352" t="s">
        <v>536</v>
      </c>
      <c r="AS28" s="1347" t="s">
        <v>539</v>
      </c>
      <c r="AT28" s="1347">
        <v>796.433328379234</v>
      </c>
      <c r="AU28" s="1347"/>
      <c r="AV28" s="1276">
        <v>91.9838837217157</v>
      </c>
      <c r="AW28" s="1278">
        <v>888.417212100949</v>
      </c>
    </row>
    <row r="29" ht="15.75" customHeight="1" spans="2:49">
      <c r="B29" s="1298" t="s">
        <v>555</v>
      </c>
      <c r="C29" s="1299">
        <v>4</v>
      </c>
      <c r="D29" s="1303" t="s">
        <v>556</v>
      </c>
      <c r="E29" s="1301">
        <v>0</v>
      </c>
      <c r="F29" s="1301">
        <v>0</v>
      </c>
      <c r="G29" s="1301">
        <v>0</v>
      </c>
      <c r="H29" s="1301">
        <v>19.3686461538462</v>
      </c>
      <c r="I29" s="1301">
        <v>17.4492307692308</v>
      </c>
      <c r="J29" s="1301">
        <v>1.91941538461538</v>
      </c>
      <c r="K29" s="1301">
        <v>36.7043797748877</v>
      </c>
      <c r="L29" s="1301">
        <v>33.0670088062052</v>
      </c>
      <c r="M29" s="1301">
        <v>3.63737096868257</v>
      </c>
      <c r="N29" s="1301" t="s">
        <v>511</v>
      </c>
      <c r="O29" s="1301" t="s">
        <v>511</v>
      </c>
      <c r="P29" s="1301">
        <v>0</v>
      </c>
      <c r="Q29" s="1301">
        <v>0</v>
      </c>
      <c r="R29" s="1301">
        <v>0</v>
      </c>
      <c r="S29" s="1301">
        <v>17.2690621826246</v>
      </c>
      <c r="T29" s="1301">
        <v>15.5577136780402</v>
      </c>
      <c r="U29" s="1301">
        <v>1.71134850458442</v>
      </c>
      <c r="V29" s="1301">
        <v>20.2071946960557</v>
      </c>
      <c r="W29" s="1301">
        <v>18.2046799063565</v>
      </c>
      <c r="X29" s="1301">
        <v>2.00251478969921</v>
      </c>
      <c r="Y29" s="1334"/>
      <c r="Z29" s="1302">
        <v>0</v>
      </c>
      <c r="AA29" s="1302">
        <v>0</v>
      </c>
      <c r="AB29" s="1302">
        <v>0</v>
      </c>
      <c r="AC29" s="1336">
        <v>362.581056</v>
      </c>
      <c r="AD29" s="1302">
        <v>326.6496</v>
      </c>
      <c r="AE29" s="1302">
        <v>35.931456</v>
      </c>
      <c r="AF29" s="1302">
        <v>48.4130769230769</v>
      </c>
      <c r="AG29" s="1302">
        <v>43.6153846153846</v>
      </c>
      <c r="AH29" s="1302">
        <v>4.79769230769231</v>
      </c>
      <c r="AI29" s="1302">
        <v>0</v>
      </c>
      <c r="AJ29" s="1302">
        <v>0</v>
      </c>
      <c r="AK29" s="1302">
        <v>0</v>
      </c>
      <c r="AL29" s="1336">
        <v>0</v>
      </c>
      <c r="AM29" s="1302">
        <v>0</v>
      </c>
      <c r="AN29" s="1302">
        <v>0</v>
      </c>
      <c r="AO29" s="1351">
        <v>410.994132923077</v>
      </c>
      <c r="AP29" s="1351">
        <v>370.264984615385</v>
      </c>
      <c r="AQ29" s="1351">
        <v>40.7291483076923</v>
      </c>
      <c r="AR29" s="1352" t="s">
        <v>536</v>
      </c>
      <c r="AS29" s="1347" t="s">
        <v>539</v>
      </c>
      <c r="AT29" s="1347">
        <v>370.264984615385</v>
      </c>
      <c r="AU29" s="1347"/>
      <c r="AV29" s="1276">
        <v>40.7291483076923</v>
      </c>
      <c r="AW29" s="1278">
        <v>410.994132923077</v>
      </c>
    </row>
    <row r="30" s="1277" customFormat="1" ht="15.75" customHeight="1" spans="2:49">
      <c r="B30" s="1294">
        <v>5001.06</v>
      </c>
      <c r="C30" s="1295" t="s">
        <v>557</v>
      </c>
      <c r="D30" s="1296" t="s">
        <v>484</v>
      </c>
      <c r="E30" s="1297">
        <v>0</v>
      </c>
      <c r="F30" s="1297">
        <v>0</v>
      </c>
      <c r="G30" s="1297">
        <v>0</v>
      </c>
      <c r="H30" s="1297">
        <v>139.015436299233</v>
      </c>
      <c r="I30" s="1297">
        <v>124.225709907968</v>
      </c>
      <c r="J30" s="1297">
        <v>14.789726391265</v>
      </c>
      <c r="K30" s="1297">
        <v>233.741796621521</v>
      </c>
      <c r="L30" s="1297">
        <v>208.874218529015</v>
      </c>
      <c r="M30" s="1297">
        <v>24.8675780925063</v>
      </c>
      <c r="N30" s="1297" t="s">
        <v>511</v>
      </c>
      <c r="O30" s="1297" t="s">
        <v>511</v>
      </c>
      <c r="P30" s="1297">
        <v>467.483593243043</v>
      </c>
      <c r="Q30" s="1297">
        <v>417.74843705803</v>
      </c>
      <c r="R30" s="1297">
        <v>49.7351561850126</v>
      </c>
      <c r="S30" s="1297">
        <v>128.19287165331</v>
      </c>
      <c r="T30" s="1297">
        <v>114.554548115038</v>
      </c>
      <c r="U30" s="1297">
        <v>13.6383235382721</v>
      </c>
      <c r="V30" s="1297">
        <v>150.003415863039</v>
      </c>
      <c r="W30" s="1297">
        <v>134.044688275448</v>
      </c>
      <c r="X30" s="1297">
        <v>15.9587275875903</v>
      </c>
      <c r="Y30" s="1332"/>
      <c r="Z30" s="1333"/>
      <c r="AA30" s="1333">
        <v>0</v>
      </c>
      <c r="AB30" s="1333">
        <v>0</v>
      </c>
      <c r="AC30" s="1182">
        <v>2602.36896752164</v>
      </c>
      <c r="AD30" s="1333">
        <v>2325.50528947716</v>
      </c>
      <c r="AE30" s="1333">
        <v>276.86367804448</v>
      </c>
      <c r="AF30" s="1333">
        <v>308.305429743787</v>
      </c>
      <c r="AG30" s="1333">
        <v>275.505094239771</v>
      </c>
      <c r="AH30" s="1333">
        <v>32.8003355040158</v>
      </c>
      <c r="AI30" s="1333">
        <v>0</v>
      </c>
      <c r="AJ30" s="1333">
        <v>0</v>
      </c>
      <c r="AK30" s="1333">
        <v>0</v>
      </c>
      <c r="AL30" s="1182">
        <v>140.245077972913</v>
      </c>
      <c r="AM30" s="1333">
        <v>125.324531117409</v>
      </c>
      <c r="AN30" s="1333">
        <v>14.9205468555038</v>
      </c>
      <c r="AO30" s="1333">
        <v>3050.91947523834</v>
      </c>
      <c r="AP30" s="1333">
        <v>2726.33491483434</v>
      </c>
      <c r="AQ30" s="1333">
        <v>324.584560404</v>
      </c>
      <c r="AR30" s="1182" t="s">
        <v>399</v>
      </c>
      <c r="AS30" s="1347"/>
      <c r="AT30" s="1347"/>
      <c r="AU30" s="1347"/>
      <c r="AW30" s="1278">
        <v>0</v>
      </c>
    </row>
    <row r="31" ht="15.75" customHeight="1" spans="2:49">
      <c r="B31" s="1298" t="s">
        <v>558</v>
      </c>
      <c r="C31" s="1299">
        <v>1</v>
      </c>
      <c r="D31" s="1303" t="s">
        <v>559</v>
      </c>
      <c r="E31" s="1301">
        <v>0</v>
      </c>
      <c r="F31" s="1301">
        <v>0</v>
      </c>
      <c r="G31" s="1301">
        <v>0</v>
      </c>
      <c r="H31" s="1301">
        <v>0</v>
      </c>
      <c r="I31" s="1301">
        <v>0</v>
      </c>
      <c r="J31" s="1301">
        <v>0</v>
      </c>
      <c r="K31" s="1301">
        <v>0</v>
      </c>
      <c r="L31" s="1301">
        <v>0</v>
      </c>
      <c r="M31" s="1301">
        <v>0</v>
      </c>
      <c r="N31" s="1301" t="s">
        <v>511</v>
      </c>
      <c r="O31" s="1301" t="s">
        <v>511</v>
      </c>
      <c r="P31" s="1301">
        <v>0</v>
      </c>
      <c r="Q31" s="1301">
        <v>0</v>
      </c>
      <c r="R31" s="1301">
        <v>0</v>
      </c>
      <c r="S31" s="1301">
        <v>0</v>
      </c>
      <c r="T31" s="1301">
        <v>0</v>
      </c>
      <c r="U31" s="1301">
        <v>0</v>
      </c>
      <c r="V31" s="1301">
        <v>0</v>
      </c>
      <c r="W31" s="1301">
        <v>0</v>
      </c>
      <c r="X31" s="1301">
        <v>0</v>
      </c>
      <c r="Y31" s="1334"/>
      <c r="Z31" s="1335"/>
      <c r="AA31" s="1335"/>
      <c r="AB31" s="1335"/>
      <c r="AC31" s="1336">
        <v>0</v>
      </c>
      <c r="AD31" s="1302">
        <v>0</v>
      </c>
      <c r="AE31" s="1302">
        <v>0</v>
      </c>
      <c r="AF31" s="1302">
        <v>0</v>
      </c>
      <c r="AG31" s="1302">
        <v>0</v>
      </c>
      <c r="AH31" s="1302">
        <v>0</v>
      </c>
      <c r="AI31" s="1302">
        <v>0</v>
      </c>
      <c r="AJ31" s="1302">
        <v>0</v>
      </c>
      <c r="AK31" s="1302">
        <v>0</v>
      </c>
      <c r="AL31" s="1336">
        <v>0</v>
      </c>
      <c r="AM31" s="1302">
        <v>0</v>
      </c>
      <c r="AN31" s="1302">
        <v>0</v>
      </c>
      <c r="AO31" s="1351">
        <v>0</v>
      </c>
      <c r="AP31" s="1351">
        <v>0</v>
      </c>
      <c r="AQ31" s="1351">
        <v>0</v>
      </c>
      <c r="AR31" s="1352" t="s">
        <v>399</v>
      </c>
      <c r="AS31" s="1347"/>
      <c r="AT31" s="1347"/>
      <c r="AU31" s="1347"/>
      <c r="AW31" s="1278">
        <v>0</v>
      </c>
    </row>
    <row r="32" ht="15.75" customHeight="1" spans="2:49">
      <c r="B32" s="1298" t="s">
        <v>560</v>
      </c>
      <c r="C32" s="1299">
        <v>2</v>
      </c>
      <c r="D32" s="1303" t="s">
        <v>561</v>
      </c>
      <c r="E32" s="1301">
        <v>0</v>
      </c>
      <c r="F32" s="1301">
        <v>0</v>
      </c>
      <c r="G32" s="1301">
        <v>0</v>
      </c>
      <c r="H32" s="1301">
        <v>21.9355168770759</v>
      </c>
      <c r="I32" s="1301">
        <v>18.7483050231418</v>
      </c>
      <c r="J32" s="1301">
        <v>3.1872118539341</v>
      </c>
      <c r="K32" s="1301">
        <v>36.882574059135</v>
      </c>
      <c r="L32" s="1301">
        <v>31.5235675719102</v>
      </c>
      <c r="M32" s="1301">
        <v>5.35900648722474</v>
      </c>
      <c r="N32" s="1301" t="s">
        <v>511</v>
      </c>
      <c r="O32" s="1301" t="s">
        <v>511</v>
      </c>
      <c r="P32" s="1301">
        <v>73.76514811827</v>
      </c>
      <c r="Q32" s="1301">
        <v>63.0471351438205</v>
      </c>
      <c r="R32" s="1301">
        <v>10.7180129744495</v>
      </c>
      <c r="S32" s="1301">
        <v>20.227803289551</v>
      </c>
      <c r="T32" s="1301">
        <v>17.2887207603</v>
      </c>
      <c r="U32" s="1301">
        <v>2.939082529251</v>
      </c>
      <c r="V32" s="1301">
        <v>23.6693316071754</v>
      </c>
      <c r="W32" s="1301">
        <v>20.2301979548508</v>
      </c>
      <c r="X32" s="1301">
        <v>3.43913365232463</v>
      </c>
      <c r="Y32" s="1334"/>
      <c r="Z32" s="1335"/>
      <c r="AA32" s="1335"/>
      <c r="AB32" s="1335"/>
      <c r="AC32" s="1336">
        <v>410.63287593886</v>
      </c>
      <c r="AD32" s="1302">
        <v>350.968270033214</v>
      </c>
      <c r="AE32" s="1302">
        <v>59.6646059056464</v>
      </c>
      <c r="AF32" s="1302">
        <v>48.648115183999</v>
      </c>
      <c r="AG32" s="1302">
        <v>41.5795856273496</v>
      </c>
      <c r="AH32" s="1302">
        <v>7.06852955664943</v>
      </c>
      <c r="AI32" s="1302">
        <v>0</v>
      </c>
      <c r="AJ32" s="1302">
        <v>0</v>
      </c>
      <c r="AK32" s="1302">
        <v>0</v>
      </c>
      <c r="AL32" s="1336">
        <v>22.129544435481</v>
      </c>
      <c r="AM32" s="1302">
        <v>18.9141405431461</v>
      </c>
      <c r="AN32" s="1302">
        <v>3.21540389233484</v>
      </c>
      <c r="AO32" s="1351">
        <v>481.41053555834</v>
      </c>
      <c r="AP32" s="1351">
        <v>411.46199620371</v>
      </c>
      <c r="AQ32" s="1351">
        <v>69.9485393546307</v>
      </c>
      <c r="AR32" s="1352" t="s">
        <v>167</v>
      </c>
      <c r="AS32" s="1347" t="s">
        <v>539</v>
      </c>
      <c r="AT32" s="1347">
        <v>411.46199620371</v>
      </c>
      <c r="AU32" s="1347"/>
      <c r="AV32" s="1276">
        <v>69.9485393546307</v>
      </c>
      <c r="AW32" s="1278">
        <v>481.41053555834</v>
      </c>
    </row>
    <row r="33" ht="15.75" customHeight="1" spans="2:49">
      <c r="B33" s="1298" t="s">
        <v>562</v>
      </c>
      <c r="C33" s="1299">
        <v>3</v>
      </c>
      <c r="D33" s="1303" t="s">
        <v>563</v>
      </c>
      <c r="E33" s="1301">
        <v>0</v>
      </c>
      <c r="F33" s="1301">
        <v>0</v>
      </c>
      <c r="G33" s="1301">
        <v>0</v>
      </c>
      <c r="H33" s="1301">
        <v>117.079919422157</v>
      </c>
      <c r="I33" s="1301">
        <v>105.477404884826</v>
      </c>
      <c r="J33" s="1301">
        <v>11.6025145373309</v>
      </c>
      <c r="K33" s="1301">
        <v>196.859222562386</v>
      </c>
      <c r="L33" s="1301">
        <v>177.350650957105</v>
      </c>
      <c r="M33" s="1301">
        <v>19.5085716052815</v>
      </c>
      <c r="N33" s="1301" t="s">
        <v>511</v>
      </c>
      <c r="O33" s="1301" t="s">
        <v>511</v>
      </c>
      <c r="P33" s="1301">
        <v>393.718445124773</v>
      </c>
      <c r="Q33" s="1301">
        <v>354.70130191421</v>
      </c>
      <c r="R33" s="1301">
        <v>39.0171432105631</v>
      </c>
      <c r="S33" s="1301">
        <v>107.965068363759</v>
      </c>
      <c r="T33" s="1301">
        <v>97.2658273547375</v>
      </c>
      <c r="U33" s="1301">
        <v>10.6992410090211</v>
      </c>
      <c r="V33" s="1301">
        <v>126.334084255863</v>
      </c>
      <c r="W33" s="1301">
        <v>113.814490320597</v>
      </c>
      <c r="X33" s="1301">
        <v>12.5195939352657</v>
      </c>
      <c r="Y33" s="1334"/>
      <c r="Z33" s="1335"/>
      <c r="AA33" s="1335"/>
      <c r="AB33" s="1335"/>
      <c r="AC33" s="1336">
        <v>2191.73609158278</v>
      </c>
      <c r="AD33" s="1302">
        <v>1974.53701944395</v>
      </c>
      <c r="AE33" s="1302">
        <v>217.199072138834</v>
      </c>
      <c r="AF33" s="1302">
        <v>259.657314559788</v>
      </c>
      <c r="AG33" s="1302">
        <v>233.925508612421</v>
      </c>
      <c r="AH33" s="1302">
        <v>25.7318059473663</v>
      </c>
      <c r="AI33" s="1302">
        <v>0</v>
      </c>
      <c r="AJ33" s="1302">
        <v>0</v>
      </c>
      <c r="AK33" s="1302">
        <v>0</v>
      </c>
      <c r="AL33" s="1336">
        <v>118.115533537432</v>
      </c>
      <c r="AM33" s="1302">
        <v>106.410390574263</v>
      </c>
      <c r="AN33" s="1302">
        <v>11.7051429631689</v>
      </c>
      <c r="AO33" s="1351">
        <v>2569.50893968</v>
      </c>
      <c r="AP33" s="1351">
        <v>2314.87291863063</v>
      </c>
      <c r="AQ33" s="1351">
        <v>254.636021049369</v>
      </c>
      <c r="AR33" s="1352" t="s">
        <v>167</v>
      </c>
      <c r="AS33" s="1347" t="s">
        <v>564</v>
      </c>
      <c r="AT33" s="1349">
        <v>770.852681904</v>
      </c>
      <c r="AU33" s="1349">
        <v>1798.656257776</v>
      </c>
      <c r="AW33" s="1278">
        <v>2569.50893968</v>
      </c>
    </row>
    <row r="34" s="1277" customFormat="1" ht="15.75" customHeight="1" spans="2:49">
      <c r="B34" s="1294">
        <v>5001.07</v>
      </c>
      <c r="C34" s="1295" t="s">
        <v>565</v>
      </c>
      <c r="D34" s="1296" t="s">
        <v>485</v>
      </c>
      <c r="E34" s="1297">
        <v>0</v>
      </c>
      <c r="F34" s="1297">
        <v>0</v>
      </c>
      <c r="G34" s="1297">
        <v>0</v>
      </c>
      <c r="H34" s="1297">
        <v>265.970060123384</v>
      </c>
      <c r="I34" s="1297">
        <v>248.491501688533</v>
      </c>
      <c r="J34" s="1297">
        <v>17.4785584348513</v>
      </c>
      <c r="K34" s="1297">
        <v>265.970060123384</v>
      </c>
      <c r="L34" s="1297">
        <v>248.491501688533</v>
      </c>
      <c r="M34" s="1297">
        <v>17.4785584348513</v>
      </c>
      <c r="N34" s="1297" t="s">
        <v>511</v>
      </c>
      <c r="O34" s="1297" t="s">
        <v>511</v>
      </c>
      <c r="P34" s="1297">
        <v>265.970060123384</v>
      </c>
      <c r="Q34" s="1297">
        <v>248.491501688533</v>
      </c>
      <c r="R34" s="1297">
        <v>17.4785584348513</v>
      </c>
      <c r="S34" s="1297">
        <v>227.297929082836</v>
      </c>
      <c r="T34" s="1297">
        <v>212.360758584201</v>
      </c>
      <c r="U34" s="1297">
        <v>14.9371704986344</v>
      </c>
      <c r="V34" s="1297">
        <v>265.970060123384</v>
      </c>
      <c r="W34" s="1297">
        <v>248.491501688533</v>
      </c>
      <c r="X34" s="1297">
        <v>17.4785584348513</v>
      </c>
      <c r="Y34" s="1332"/>
      <c r="Z34" s="1333"/>
      <c r="AA34" s="1333">
        <v>0</v>
      </c>
      <c r="AB34" s="1333">
        <v>0</v>
      </c>
      <c r="AC34" s="1333">
        <v>4978.95952550975</v>
      </c>
      <c r="AD34" s="1333">
        <v>4651.76091160934</v>
      </c>
      <c r="AE34" s="1333">
        <v>327.198613900415</v>
      </c>
      <c r="AF34" s="1333">
        <v>350.814509302744</v>
      </c>
      <c r="AG34" s="1333">
        <v>327.760290727175</v>
      </c>
      <c r="AH34" s="1333">
        <v>23.0542185755688</v>
      </c>
      <c r="AI34" s="1333">
        <v>0</v>
      </c>
      <c r="AJ34" s="1333">
        <v>0</v>
      </c>
      <c r="AK34" s="1333">
        <v>0</v>
      </c>
      <c r="AL34" s="1182">
        <v>79.7910180370153</v>
      </c>
      <c r="AM34" s="1333">
        <v>74.5474505065599</v>
      </c>
      <c r="AN34" s="1333">
        <v>5.24356753045538</v>
      </c>
      <c r="AO34" s="1333">
        <v>5409.56505284951</v>
      </c>
      <c r="AP34" s="1333">
        <v>5054.06865284307</v>
      </c>
      <c r="AQ34" s="1333">
        <v>355.49640000644</v>
      </c>
      <c r="AR34" s="1182" t="s">
        <v>399</v>
      </c>
      <c r="AS34" s="1347"/>
      <c r="AT34" s="1347"/>
      <c r="AU34" s="1347"/>
      <c r="AW34" s="1278">
        <v>0</v>
      </c>
    </row>
    <row r="35" ht="15.75" customHeight="1" spans="2:49">
      <c r="B35" s="1298" t="s">
        <v>566</v>
      </c>
      <c r="C35" s="1299">
        <v>1</v>
      </c>
      <c r="D35" s="1300" t="s">
        <v>567</v>
      </c>
      <c r="E35" s="1301">
        <v>0</v>
      </c>
      <c r="F35" s="1301">
        <v>0</v>
      </c>
      <c r="G35" s="1301">
        <v>0</v>
      </c>
      <c r="H35" s="1301">
        <v>58.5019313975494</v>
      </c>
      <c r="I35" s="1301">
        <v>55.1905013184428</v>
      </c>
      <c r="J35" s="1301">
        <v>3.31143007910657</v>
      </c>
      <c r="K35" s="1301">
        <v>58.5019313975494</v>
      </c>
      <c r="L35" s="1301">
        <v>55.1905013184428</v>
      </c>
      <c r="M35" s="1301">
        <v>3.31143007910657</v>
      </c>
      <c r="N35" s="1301" t="s">
        <v>511</v>
      </c>
      <c r="O35" s="1301" t="s">
        <v>511</v>
      </c>
      <c r="P35" s="1301">
        <v>58.5019313975494</v>
      </c>
      <c r="Q35" s="1301">
        <v>55.1905013184428</v>
      </c>
      <c r="R35" s="1301">
        <v>3.31143007910657</v>
      </c>
      <c r="S35" s="1301">
        <v>49.995732030291</v>
      </c>
      <c r="T35" s="1301">
        <v>47.1657849342368</v>
      </c>
      <c r="U35" s="1301">
        <v>2.82994709605421</v>
      </c>
      <c r="V35" s="1301">
        <v>58.5019313975494</v>
      </c>
      <c r="W35" s="1301">
        <v>55.1905013184428</v>
      </c>
      <c r="X35" s="1301">
        <v>3.31143007910657</v>
      </c>
      <c r="Y35" s="1334"/>
      <c r="Z35" s="1335"/>
      <c r="AA35" s="1335"/>
      <c r="AB35" s="1335"/>
      <c r="AC35" s="1336">
        <v>1095.15615576212</v>
      </c>
      <c r="AD35" s="1302">
        <v>1033.16618468125</v>
      </c>
      <c r="AE35" s="1302">
        <v>61.989971080875</v>
      </c>
      <c r="AF35" s="1302">
        <v>77.1640475133677</v>
      </c>
      <c r="AG35" s="1302">
        <v>72.7962712390261</v>
      </c>
      <c r="AH35" s="1302">
        <v>4.36777627434157</v>
      </c>
      <c r="AI35" s="1302">
        <v>0</v>
      </c>
      <c r="AJ35" s="1302">
        <v>0</v>
      </c>
      <c r="AK35" s="1302">
        <v>0</v>
      </c>
      <c r="AL35" s="1336">
        <v>17.5505794192648</v>
      </c>
      <c r="AM35" s="1302">
        <v>16.5571503955328</v>
      </c>
      <c r="AN35" s="1302">
        <v>0.993429023731971</v>
      </c>
      <c r="AO35" s="1351">
        <v>1189.87078269476</v>
      </c>
      <c r="AP35" s="1351">
        <v>1122.51960631581</v>
      </c>
      <c r="AQ35" s="1351">
        <v>67.3511763789485</v>
      </c>
      <c r="AR35" s="1352" t="s">
        <v>399</v>
      </c>
      <c r="AS35" s="1347" t="s">
        <v>568</v>
      </c>
      <c r="AT35" s="1349">
        <v>1189.87078269476</v>
      </c>
      <c r="AU35" s="1347"/>
      <c r="AW35" s="1278">
        <v>1189.87078269476</v>
      </c>
    </row>
    <row r="36" ht="15.75" customHeight="1" spans="2:49">
      <c r="B36" s="1298" t="s">
        <v>569</v>
      </c>
      <c r="C36" s="1299">
        <v>2</v>
      </c>
      <c r="D36" s="1300" t="s">
        <v>570</v>
      </c>
      <c r="E36" s="1301">
        <v>0</v>
      </c>
      <c r="F36" s="1301">
        <v>0</v>
      </c>
      <c r="G36" s="1301">
        <v>0</v>
      </c>
      <c r="H36" s="1301">
        <v>25.7780618516151</v>
      </c>
      <c r="I36" s="1301">
        <v>25.7780618516151</v>
      </c>
      <c r="J36" s="1301">
        <v>0</v>
      </c>
      <c r="K36" s="1301">
        <v>25.7780618516151</v>
      </c>
      <c r="L36" s="1301">
        <v>25.7780618516151</v>
      </c>
      <c r="M36" s="1301">
        <v>0</v>
      </c>
      <c r="N36" s="1301" t="s">
        <v>511</v>
      </c>
      <c r="O36" s="1301" t="s">
        <v>511</v>
      </c>
      <c r="P36" s="1301">
        <v>25.7780618516151</v>
      </c>
      <c r="Q36" s="1301">
        <v>25.7780618516151</v>
      </c>
      <c r="R36" s="1301">
        <v>0</v>
      </c>
      <c r="S36" s="1301">
        <v>22.0299234880919</v>
      </c>
      <c r="T36" s="1301">
        <v>22.0299234880919</v>
      </c>
      <c r="U36" s="1301">
        <v>0</v>
      </c>
      <c r="V36" s="1301">
        <v>25.7780618516151</v>
      </c>
      <c r="W36" s="1301">
        <v>25.7780618516151</v>
      </c>
      <c r="X36" s="1301">
        <v>0</v>
      </c>
      <c r="Y36" s="1334"/>
      <c r="Z36" s="1335"/>
      <c r="AA36" s="1335"/>
      <c r="AB36" s="1335"/>
      <c r="AC36" s="1336">
        <v>482.565317862235</v>
      </c>
      <c r="AD36" s="1302">
        <v>482.565317862235</v>
      </c>
      <c r="AE36" s="1302">
        <v>0</v>
      </c>
      <c r="AF36" s="1302">
        <v>34.0012635822804</v>
      </c>
      <c r="AG36" s="1302">
        <v>34.0012635822804</v>
      </c>
      <c r="AH36" s="1302">
        <v>0</v>
      </c>
      <c r="AI36" s="1302">
        <v>0</v>
      </c>
      <c r="AJ36" s="1302">
        <v>0</v>
      </c>
      <c r="AK36" s="1302">
        <v>0</v>
      </c>
      <c r="AL36" s="1336">
        <v>7.73341855548454</v>
      </c>
      <c r="AM36" s="1302">
        <v>7.73341855548454</v>
      </c>
      <c r="AN36" s="1302">
        <v>0</v>
      </c>
      <c r="AO36" s="1351">
        <v>524.3</v>
      </c>
      <c r="AP36" s="1351">
        <v>524.3</v>
      </c>
      <c r="AQ36" s="1351">
        <v>0</v>
      </c>
      <c r="AR36" s="1352" t="s">
        <v>399</v>
      </c>
      <c r="AS36" s="1347" t="s">
        <v>571</v>
      </c>
      <c r="AT36" s="1349">
        <v>524.3</v>
      </c>
      <c r="AU36" s="1347"/>
      <c r="AW36" s="1278">
        <v>524.3</v>
      </c>
    </row>
    <row r="37" ht="15.75" customHeight="1" spans="2:49">
      <c r="B37" s="1298" t="s">
        <v>572</v>
      </c>
      <c r="C37" s="1299">
        <v>3</v>
      </c>
      <c r="D37" s="1300" t="s">
        <v>573</v>
      </c>
      <c r="E37" s="1301">
        <v>0</v>
      </c>
      <c r="F37" s="1301">
        <v>0</v>
      </c>
      <c r="G37" s="1301">
        <v>0</v>
      </c>
      <c r="H37" s="1301">
        <v>45.9803155820613</v>
      </c>
      <c r="I37" s="1301">
        <v>43.3171992814742</v>
      </c>
      <c r="J37" s="1301">
        <v>2.66311630058706</v>
      </c>
      <c r="K37" s="1301">
        <v>45.9803155820613</v>
      </c>
      <c r="L37" s="1301">
        <v>43.3171992814742</v>
      </c>
      <c r="M37" s="1301">
        <v>2.66311630058706</v>
      </c>
      <c r="N37" s="1301" t="s">
        <v>511</v>
      </c>
      <c r="O37" s="1301" t="s">
        <v>511</v>
      </c>
      <c r="P37" s="1301">
        <v>45.9803155820613</v>
      </c>
      <c r="Q37" s="1301">
        <v>43.3171992814742</v>
      </c>
      <c r="R37" s="1301">
        <v>2.66311630058706</v>
      </c>
      <c r="S37" s="1301">
        <v>39.2947631230726</v>
      </c>
      <c r="T37" s="1301">
        <v>37.0188647766596</v>
      </c>
      <c r="U37" s="1301">
        <v>2.27589834641302</v>
      </c>
      <c r="V37" s="1301">
        <v>45.9803155820613</v>
      </c>
      <c r="W37" s="1301">
        <v>43.3171992814742</v>
      </c>
      <c r="X37" s="1301">
        <v>2.66311630058706</v>
      </c>
      <c r="Y37" s="1334"/>
      <c r="Z37" s="1335"/>
      <c r="AA37" s="1335"/>
      <c r="AB37" s="1335"/>
      <c r="AC37" s="1336">
        <v>860.751507696187</v>
      </c>
      <c r="AD37" s="1302">
        <v>810.897970549197</v>
      </c>
      <c r="AE37" s="1302">
        <v>49.8535371469897</v>
      </c>
      <c r="AF37" s="1302">
        <v>60.6480362527388</v>
      </c>
      <c r="AG37" s="1302">
        <v>57.1353858522645</v>
      </c>
      <c r="AH37" s="1302">
        <v>3.51265040047433</v>
      </c>
      <c r="AI37" s="1302">
        <v>0</v>
      </c>
      <c r="AJ37" s="1302">
        <v>0</v>
      </c>
      <c r="AK37" s="1302">
        <v>0</v>
      </c>
      <c r="AL37" s="1336">
        <v>13.7940946746184</v>
      </c>
      <c r="AM37" s="1302">
        <v>12.9951597844423</v>
      </c>
      <c r="AN37" s="1302">
        <v>0.798934890176117</v>
      </c>
      <c r="AO37" s="1351">
        <v>935.193638623544</v>
      </c>
      <c r="AP37" s="1351">
        <v>881.028516185904</v>
      </c>
      <c r="AQ37" s="1351">
        <v>54.1651224376401</v>
      </c>
      <c r="AR37" s="1352" t="s">
        <v>399</v>
      </c>
      <c r="AS37" s="1347" t="s">
        <v>574</v>
      </c>
      <c r="AT37" s="1349">
        <v>935.193638623544</v>
      </c>
      <c r="AU37" s="1347"/>
      <c r="AW37" s="1278">
        <v>935.193638623544</v>
      </c>
    </row>
    <row r="38" ht="15.75" customHeight="1" spans="2:49">
      <c r="B38" s="1298" t="s">
        <v>575</v>
      </c>
      <c r="C38" s="1299">
        <v>4</v>
      </c>
      <c r="D38" s="1300" t="s">
        <v>576</v>
      </c>
      <c r="E38" s="1301">
        <v>0</v>
      </c>
      <c r="F38" s="1301">
        <v>0</v>
      </c>
      <c r="G38" s="1301">
        <v>0</v>
      </c>
      <c r="H38" s="1301">
        <v>89.9470229608142</v>
      </c>
      <c r="I38" s="1301">
        <v>81.0333540187515</v>
      </c>
      <c r="J38" s="1301">
        <v>8.91366894206267</v>
      </c>
      <c r="K38" s="1301">
        <v>89.9470229608142</v>
      </c>
      <c r="L38" s="1301">
        <v>81.0333540187515</v>
      </c>
      <c r="M38" s="1301">
        <v>8.91366894206267</v>
      </c>
      <c r="N38" s="1301" t="s">
        <v>511</v>
      </c>
      <c r="O38" s="1301" t="s">
        <v>511</v>
      </c>
      <c r="P38" s="1301">
        <v>89.9470229608142</v>
      </c>
      <c r="Q38" s="1301">
        <v>81.0333540187515</v>
      </c>
      <c r="R38" s="1301">
        <v>8.91366894206267</v>
      </c>
      <c r="S38" s="1301">
        <v>76.8686973138065</v>
      </c>
      <c r="T38" s="1301">
        <v>69.251078661087</v>
      </c>
      <c r="U38" s="1301">
        <v>7.61761865271956</v>
      </c>
      <c r="V38" s="1301">
        <v>89.9470229608142</v>
      </c>
      <c r="W38" s="1301">
        <v>81.0333540187515</v>
      </c>
      <c r="X38" s="1301">
        <v>8.91366894206267</v>
      </c>
      <c r="Y38" s="1334"/>
      <c r="Z38" s="1335"/>
      <c r="AA38" s="1335"/>
      <c r="AB38" s="1335"/>
      <c r="AC38" s="1336">
        <v>1683.80826982644</v>
      </c>
      <c r="AD38" s="1302">
        <v>1516.94438723103</v>
      </c>
      <c r="AE38" s="1302">
        <v>166.863882595413</v>
      </c>
      <c r="AF38" s="1302">
        <v>118.640123285314</v>
      </c>
      <c r="AG38" s="1302">
        <v>106.882993950733</v>
      </c>
      <c r="AH38" s="1302">
        <v>11.7571293345807</v>
      </c>
      <c r="AI38" s="1302">
        <v>0</v>
      </c>
      <c r="AJ38" s="1302">
        <v>0</v>
      </c>
      <c r="AK38" s="1302">
        <v>0</v>
      </c>
      <c r="AL38" s="1336">
        <v>26.9841068882443</v>
      </c>
      <c r="AM38" s="1302">
        <v>24.3100062056255</v>
      </c>
      <c r="AN38" s="1302">
        <v>2.6741006826188</v>
      </c>
      <c r="AO38" s="1351">
        <v>1829.4325</v>
      </c>
      <c r="AP38" s="1351">
        <v>1648.13738738739</v>
      </c>
      <c r="AQ38" s="1351">
        <v>181.295112612613</v>
      </c>
      <c r="AR38" s="1352" t="s">
        <v>399</v>
      </c>
      <c r="AS38" s="1347" t="s">
        <v>571</v>
      </c>
      <c r="AT38" s="1349">
        <v>1829.4325</v>
      </c>
      <c r="AU38" s="1347"/>
      <c r="AW38" s="1278">
        <v>1829.4325</v>
      </c>
    </row>
    <row r="39" ht="15.75" customHeight="1" spans="2:49">
      <c r="B39" s="1298" t="s">
        <v>577</v>
      </c>
      <c r="C39" s="1299">
        <v>5</v>
      </c>
      <c r="D39" s="1300" t="s">
        <v>578</v>
      </c>
      <c r="E39" s="1301">
        <v>0</v>
      </c>
      <c r="F39" s="1301">
        <v>0</v>
      </c>
      <c r="G39" s="1301">
        <v>0</v>
      </c>
      <c r="H39" s="1301">
        <v>28.9830612765181</v>
      </c>
      <c r="I39" s="1301">
        <v>27.3425106382246</v>
      </c>
      <c r="J39" s="1301">
        <v>1.64055063829348</v>
      </c>
      <c r="K39" s="1301">
        <v>28.9830612765181</v>
      </c>
      <c r="L39" s="1301">
        <v>27.3425106382246</v>
      </c>
      <c r="M39" s="1301">
        <v>1.64055063829347</v>
      </c>
      <c r="N39" s="1301" t="s">
        <v>511</v>
      </c>
      <c r="O39" s="1301" t="s">
        <v>511</v>
      </c>
      <c r="P39" s="1301">
        <v>28.9830612765181</v>
      </c>
      <c r="Q39" s="1301">
        <v>27.3425106382246</v>
      </c>
      <c r="R39" s="1301">
        <v>1.64055063829348</v>
      </c>
      <c r="S39" s="1301">
        <v>24.7689149807967</v>
      </c>
      <c r="T39" s="1301">
        <v>23.3669009252799</v>
      </c>
      <c r="U39" s="1301">
        <v>1.40201405551679</v>
      </c>
      <c r="V39" s="1301">
        <v>28.9830612765181</v>
      </c>
      <c r="W39" s="1301">
        <v>27.3425106382246</v>
      </c>
      <c r="X39" s="1301">
        <v>1.64055063829348</v>
      </c>
      <c r="Y39" s="1334"/>
      <c r="Z39" s="1335"/>
      <c r="AA39" s="1335"/>
      <c r="AB39" s="1335"/>
      <c r="AC39" s="1336">
        <v>542.562907096418</v>
      </c>
      <c r="AD39" s="1302">
        <v>511.851799147564</v>
      </c>
      <c r="AE39" s="1302">
        <v>30.7111079488539</v>
      </c>
      <c r="AF39" s="1302">
        <v>38.2286578237273</v>
      </c>
      <c r="AG39" s="1302">
        <v>36.0647715318182</v>
      </c>
      <c r="AH39" s="1302">
        <v>2.16388629190909</v>
      </c>
      <c r="AI39" s="1302">
        <v>0</v>
      </c>
      <c r="AJ39" s="1302">
        <v>0</v>
      </c>
      <c r="AK39" s="1302">
        <v>0</v>
      </c>
      <c r="AL39" s="1336">
        <v>8.69491838295542</v>
      </c>
      <c r="AM39" s="1302">
        <v>8.20275319146738</v>
      </c>
      <c r="AN39" s="1302">
        <v>0.492165191488043</v>
      </c>
      <c r="AO39" s="1351">
        <v>589.486483303101</v>
      </c>
      <c r="AP39" s="1351">
        <v>556.11932387085</v>
      </c>
      <c r="AQ39" s="1351">
        <v>33.367159432251</v>
      </c>
      <c r="AR39" s="1352" t="s">
        <v>399</v>
      </c>
      <c r="AS39" s="1347" t="s">
        <v>579</v>
      </c>
      <c r="AT39" s="1349">
        <v>589.486483303101</v>
      </c>
      <c r="AU39" s="1347"/>
      <c r="AW39" s="1278">
        <v>589.486483303101</v>
      </c>
    </row>
    <row r="40" ht="15.75" customHeight="1" spans="2:49">
      <c r="B40" s="1298" t="s">
        <v>580</v>
      </c>
      <c r="C40" s="1299">
        <v>6</v>
      </c>
      <c r="D40" s="1300" t="s">
        <v>581</v>
      </c>
      <c r="E40" s="1301">
        <v>0</v>
      </c>
      <c r="F40" s="1301">
        <v>0</v>
      </c>
      <c r="G40" s="1301">
        <v>0</v>
      </c>
      <c r="H40" s="1301">
        <v>16.7796670548262</v>
      </c>
      <c r="I40" s="1301">
        <v>15.8298745800248</v>
      </c>
      <c r="J40" s="1301">
        <v>0.949792474801486</v>
      </c>
      <c r="K40" s="1301">
        <v>16.7796670548262</v>
      </c>
      <c r="L40" s="1301">
        <v>15.8298745800248</v>
      </c>
      <c r="M40" s="1301">
        <v>0.949792474801486</v>
      </c>
      <c r="N40" s="1301" t="s">
        <v>511</v>
      </c>
      <c r="O40" s="1301" t="s">
        <v>511</v>
      </c>
      <c r="P40" s="1301">
        <v>16.7796670548262</v>
      </c>
      <c r="Q40" s="1301">
        <v>15.8298745800248</v>
      </c>
      <c r="R40" s="1301">
        <v>0.949792474801486</v>
      </c>
      <c r="S40" s="1301">
        <v>14.339898146777</v>
      </c>
      <c r="T40" s="1301">
        <v>13.5282057988463</v>
      </c>
      <c r="U40" s="1301">
        <v>0.811692347930775</v>
      </c>
      <c r="V40" s="1301">
        <v>16.7796670548262</v>
      </c>
      <c r="W40" s="1301">
        <v>15.8298745800248</v>
      </c>
      <c r="X40" s="1301">
        <v>0.949792474801486</v>
      </c>
      <c r="Y40" s="1334"/>
      <c r="Z40" s="1335"/>
      <c r="AA40" s="1335"/>
      <c r="AB40" s="1335"/>
      <c r="AC40" s="1336">
        <v>314.115367266347</v>
      </c>
      <c r="AD40" s="1302">
        <v>296.335252138064</v>
      </c>
      <c r="AE40" s="1302">
        <v>17.7801151282838</v>
      </c>
      <c r="AF40" s="1302">
        <v>22.1323808453158</v>
      </c>
      <c r="AG40" s="1302">
        <v>20.8796045710527</v>
      </c>
      <c r="AH40" s="1302">
        <v>1.25277627426316</v>
      </c>
      <c r="AI40" s="1302">
        <v>0</v>
      </c>
      <c r="AJ40" s="1302">
        <v>0</v>
      </c>
      <c r="AK40" s="1302">
        <v>0</v>
      </c>
      <c r="AL40" s="1336">
        <v>5.03390011644787</v>
      </c>
      <c r="AM40" s="1302">
        <v>4.74896237400743</v>
      </c>
      <c r="AN40" s="1302">
        <v>0.284937742440446</v>
      </c>
      <c r="AO40" s="1351">
        <v>341.281648228111</v>
      </c>
      <c r="AP40" s="1351">
        <v>321.963819083124</v>
      </c>
      <c r="AQ40" s="1351">
        <v>19.3178291449874</v>
      </c>
      <c r="AR40" s="1352" t="s">
        <v>399</v>
      </c>
      <c r="AS40" s="1347" t="s">
        <v>571</v>
      </c>
      <c r="AT40" s="1349">
        <v>341.281648228111</v>
      </c>
      <c r="AU40" s="1347"/>
      <c r="AW40" s="1278">
        <v>341.281648228111</v>
      </c>
    </row>
    <row r="41" s="1277" customFormat="1" ht="15.75" customHeight="1" spans="2:49">
      <c r="B41" s="1294">
        <v>5001.08</v>
      </c>
      <c r="C41" s="1295" t="s">
        <v>582</v>
      </c>
      <c r="D41" s="1296" t="s">
        <v>492</v>
      </c>
      <c r="E41" s="1297">
        <v>0</v>
      </c>
      <c r="F41" s="1297">
        <v>0</v>
      </c>
      <c r="G41" s="1297">
        <v>0</v>
      </c>
      <c r="H41" s="1305">
        <v>305.63340390049</v>
      </c>
      <c r="I41" s="1297">
        <v>305.63340390049</v>
      </c>
      <c r="J41" s="1297">
        <v>0</v>
      </c>
      <c r="K41" s="1297">
        <v>305.63340390049</v>
      </c>
      <c r="L41" s="1297">
        <v>305.63340390049</v>
      </c>
      <c r="M41" s="1297">
        <v>0</v>
      </c>
      <c r="N41" s="1297" t="s">
        <v>511</v>
      </c>
      <c r="O41" s="1297" t="s">
        <v>511</v>
      </c>
      <c r="P41" s="1297">
        <v>305.63340390049</v>
      </c>
      <c r="Q41" s="1297">
        <v>305.63340390049</v>
      </c>
      <c r="R41" s="1297">
        <v>0</v>
      </c>
      <c r="S41" s="1297">
        <v>261.194210103543</v>
      </c>
      <c r="T41" s="1297">
        <v>261.194210103543</v>
      </c>
      <c r="U41" s="1297">
        <v>0</v>
      </c>
      <c r="V41" s="1297">
        <v>305.63340390049</v>
      </c>
      <c r="W41" s="1297">
        <v>305.63340390049</v>
      </c>
      <c r="X41" s="1297">
        <v>0</v>
      </c>
      <c r="Y41" s="1332"/>
      <c r="Z41" s="1333"/>
      <c r="AA41" s="1333"/>
      <c r="AB41" s="1333"/>
      <c r="AC41" s="1182">
        <v>5721.45732101717</v>
      </c>
      <c r="AD41" s="1333">
        <v>5721.45732101717</v>
      </c>
      <c r="AE41" s="1333">
        <v>0</v>
      </c>
      <c r="AF41" s="1333">
        <v>403.130459744746</v>
      </c>
      <c r="AG41" s="1333">
        <v>403.130459744746</v>
      </c>
      <c r="AH41" s="1333">
        <v>0</v>
      </c>
      <c r="AI41" s="1333">
        <v>0</v>
      </c>
      <c r="AJ41" s="1333">
        <v>0</v>
      </c>
      <c r="AK41" s="1333">
        <v>0</v>
      </c>
      <c r="AL41" s="1182">
        <v>91.6900211701469</v>
      </c>
      <c r="AM41" s="1333">
        <v>91.6900211701469</v>
      </c>
      <c r="AN41" s="1333">
        <v>0</v>
      </c>
      <c r="AO41" s="1333">
        <v>6216.27780193206</v>
      </c>
      <c r="AP41" s="1333">
        <v>6216.27780193206</v>
      </c>
      <c r="AQ41" s="1333">
        <v>0</v>
      </c>
      <c r="AR41" s="1182" t="s">
        <v>399</v>
      </c>
      <c r="AS41" s="1347" t="s">
        <v>571</v>
      </c>
      <c r="AT41" s="1347">
        <v>6216.27780193206</v>
      </c>
      <c r="AU41" s="1347"/>
      <c r="AW41" s="1277">
        <v>6216.27780193206</v>
      </c>
    </row>
    <row r="42" s="1277" customFormat="1" ht="15.75" customHeight="1" spans="2:47">
      <c r="B42" s="1306"/>
      <c r="C42" s="1306"/>
      <c r="D42" s="1307" t="s">
        <v>583</v>
      </c>
      <c r="E42" s="1308">
        <v>1759.66900170663</v>
      </c>
      <c r="F42" s="1308">
        <v>1579.14096151066</v>
      </c>
      <c r="G42" s="1308">
        <v>180.528040195976</v>
      </c>
      <c r="H42" s="1308">
        <v>8114.66223275242</v>
      </c>
      <c r="I42" s="1308">
        <v>7395.54795954799</v>
      </c>
      <c r="J42" s="1308">
        <v>719.114273204428</v>
      </c>
      <c r="K42" s="1308">
        <v>10431.2150681729</v>
      </c>
      <c r="L42" s="1308">
        <v>9488.49392096995</v>
      </c>
      <c r="M42" s="1308">
        <v>942.721147202939</v>
      </c>
      <c r="N42" s="1308" t="s">
        <v>511</v>
      </c>
      <c r="O42" s="1308" t="s">
        <v>511</v>
      </c>
      <c r="P42" s="1308">
        <v>9348.15111943453</v>
      </c>
      <c r="Q42" s="1308">
        <v>8501.29606751335</v>
      </c>
      <c r="R42" s="1308">
        <v>846.855051921178</v>
      </c>
      <c r="S42" s="1308">
        <v>7334.57947288612</v>
      </c>
      <c r="T42" s="1308">
        <v>6679.77297497818</v>
      </c>
      <c r="U42" s="1308">
        <v>654.806497907935</v>
      </c>
      <c r="V42" s="1308">
        <v>8582.47389782564</v>
      </c>
      <c r="W42" s="1308">
        <v>7816.25959785159</v>
      </c>
      <c r="X42" s="1308">
        <v>766.214299974049</v>
      </c>
      <c r="Y42" s="1337"/>
      <c r="Z42" s="1308">
        <v>6089.2416</v>
      </c>
      <c r="AA42" s="1308">
        <v>5464.53385595174</v>
      </c>
      <c r="AB42" s="1308">
        <v>624.707744048263</v>
      </c>
      <c r="AC42" s="1308">
        <v>151906.476997125</v>
      </c>
      <c r="AD42" s="1308">
        <v>138444.657802738</v>
      </c>
      <c r="AE42" s="1308">
        <v>13461.8191943869</v>
      </c>
      <c r="AF42" s="1308">
        <v>13758.77267492</v>
      </c>
      <c r="AG42" s="1308">
        <v>12515.3234817594</v>
      </c>
      <c r="AH42" s="1308">
        <v>1243.44919316068</v>
      </c>
      <c r="AI42" s="1308">
        <v>0</v>
      </c>
      <c r="AJ42" s="1308">
        <v>0</v>
      </c>
      <c r="AK42" s="1308">
        <v>0</v>
      </c>
      <c r="AL42" s="1308">
        <v>2804.44533583036</v>
      </c>
      <c r="AM42" s="1308">
        <v>2550.38882025401</v>
      </c>
      <c r="AN42" s="1308">
        <v>254.056515576353</v>
      </c>
      <c r="AO42" s="1308">
        <v>174558.936607876</v>
      </c>
      <c r="AP42" s="1308">
        <v>158974.903960703</v>
      </c>
      <c r="AQ42" s="1308">
        <v>15584.0326471722</v>
      </c>
      <c r="AR42" s="1353"/>
      <c r="AS42" s="1347"/>
      <c r="AT42" s="1347"/>
      <c r="AU42" s="1347"/>
    </row>
    <row r="43" s="1277" customFormat="1" ht="15.75" customHeight="1" spans="2:47">
      <c r="B43" s="1294">
        <v>5001.09</v>
      </c>
      <c r="C43" s="1295" t="s">
        <v>584</v>
      </c>
      <c r="D43" s="1296" t="s">
        <v>11</v>
      </c>
      <c r="E43" s="1309">
        <v>0</v>
      </c>
      <c r="F43" s="1309">
        <v>0</v>
      </c>
      <c r="G43" s="1309">
        <v>0</v>
      </c>
      <c r="H43" s="1309">
        <v>0</v>
      </c>
      <c r="I43" s="1309">
        <v>0</v>
      </c>
      <c r="J43" s="1309">
        <v>0</v>
      </c>
      <c r="K43" s="1309">
        <v>0</v>
      </c>
      <c r="L43" s="1309">
        <v>0</v>
      </c>
      <c r="M43" s="1309">
        <v>0</v>
      </c>
      <c r="N43" s="1309" t="s">
        <v>511</v>
      </c>
      <c r="O43" s="1309" t="s">
        <v>511</v>
      </c>
      <c r="P43" s="1309">
        <v>0</v>
      </c>
      <c r="Q43" s="1309">
        <v>0</v>
      </c>
      <c r="R43" s="1309">
        <v>0</v>
      </c>
      <c r="S43" s="1309">
        <v>0</v>
      </c>
      <c r="T43" s="1309">
        <v>0</v>
      </c>
      <c r="U43" s="1309">
        <v>0</v>
      </c>
      <c r="V43" s="1297">
        <v>0</v>
      </c>
      <c r="W43" s="1297">
        <v>0</v>
      </c>
      <c r="X43" s="1297">
        <v>0</v>
      </c>
      <c r="Y43" s="1332"/>
      <c r="Z43" s="1338">
        <v>0</v>
      </c>
      <c r="AA43" s="1338">
        <v>0</v>
      </c>
      <c r="AB43" s="1338">
        <v>0</v>
      </c>
      <c r="AC43" s="1338">
        <v>0</v>
      </c>
      <c r="AD43" s="1338">
        <v>0</v>
      </c>
      <c r="AE43" s="1338">
        <v>0</v>
      </c>
      <c r="AF43" s="1338">
        <v>0</v>
      </c>
      <c r="AG43" s="1338">
        <v>0</v>
      </c>
      <c r="AH43" s="1338">
        <v>0</v>
      </c>
      <c r="AI43" s="1338">
        <v>0</v>
      </c>
      <c r="AJ43" s="1338">
        <v>0</v>
      </c>
      <c r="AK43" s="1338">
        <v>0</v>
      </c>
      <c r="AL43" s="1338">
        <v>0</v>
      </c>
      <c r="AM43" s="1338">
        <v>0</v>
      </c>
      <c r="AN43" s="1338">
        <v>0</v>
      </c>
      <c r="AO43" s="1338">
        <v>0</v>
      </c>
      <c r="AP43" s="1338">
        <v>0</v>
      </c>
      <c r="AQ43" s="1338">
        <v>0</v>
      </c>
      <c r="AR43" s="1182" t="s">
        <v>399</v>
      </c>
      <c r="AS43" s="1354"/>
      <c r="AT43" s="1354"/>
      <c r="AU43" s="1354"/>
    </row>
    <row r="44" ht="15.75" customHeight="1" spans="2:44">
      <c r="B44" s="1299"/>
      <c r="C44" s="1299">
        <v>1</v>
      </c>
      <c r="D44" s="1300" t="s">
        <v>341</v>
      </c>
      <c r="E44" s="1301">
        <v>0</v>
      </c>
      <c r="F44" s="1301">
        <v>0</v>
      </c>
      <c r="G44" s="1301">
        <v>0</v>
      </c>
      <c r="H44" s="1301">
        <v>0</v>
      </c>
      <c r="I44" s="1301">
        <v>0</v>
      </c>
      <c r="J44" s="1301">
        <v>0</v>
      </c>
      <c r="K44" s="1301">
        <v>0</v>
      </c>
      <c r="L44" s="1301">
        <v>0</v>
      </c>
      <c r="M44" s="1301">
        <v>0</v>
      </c>
      <c r="N44" s="1301" t="s">
        <v>511</v>
      </c>
      <c r="O44" s="1301" t="s">
        <v>511</v>
      </c>
      <c r="P44" s="1301">
        <v>0</v>
      </c>
      <c r="Q44" s="1301">
        <v>0</v>
      </c>
      <c r="R44" s="1301">
        <v>0</v>
      </c>
      <c r="S44" s="1301">
        <v>0</v>
      </c>
      <c r="T44" s="1301">
        <v>0</v>
      </c>
      <c r="U44" s="1301">
        <v>0</v>
      </c>
      <c r="V44" s="1301">
        <v>0</v>
      </c>
      <c r="W44" s="1301">
        <v>0</v>
      </c>
      <c r="X44" s="1301">
        <v>0</v>
      </c>
      <c r="Y44" s="1334"/>
      <c r="Z44" s="1335"/>
      <c r="AA44" s="1335"/>
      <c r="AB44" s="1335"/>
      <c r="AC44" s="1335"/>
      <c r="AD44" s="1335"/>
      <c r="AE44" s="1335"/>
      <c r="AF44" s="1335"/>
      <c r="AG44" s="1335"/>
      <c r="AH44" s="1335"/>
      <c r="AI44" s="1335"/>
      <c r="AJ44" s="1335"/>
      <c r="AK44" s="1335"/>
      <c r="AL44" s="1335"/>
      <c r="AM44" s="1335"/>
      <c r="AN44" s="1335"/>
      <c r="AO44" s="1335"/>
      <c r="AP44" s="1335"/>
      <c r="AQ44" s="1335"/>
      <c r="AR44" s="1350"/>
    </row>
    <row r="45" ht="15.75" customHeight="1" spans="2:44">
      <c r="B45" s="1299"/>
      <c r="C45" s="1299">
        <v>2</v>
      </c>
      <c r="D45" s="1300" t="s">
        <v>585</v>
      </c>
      <c r="E45" s="1301">
        <v>0</v>
      </c>
      <c r="F45" s="1301">
        <v>0</v>
      </c>
      <c r="G45" s="1301">
        <v>0</v>
      </c>
      <c r="H45" s="1301">
        <v>0</v>
      </c>
      <c r="I45" s="1301">
        <v>0</v>
      </c>
      <c r="J45" s="1301">
        <v>0</v>
      </c>
      <c r="K45" s="1301">
        <v>0</v>
      </c>
      <c r="L45" s="1301">
        <v>0</v>
      </c>
      <c r="M45" s="1301">
        <v>0</v>
      </c>
      <c r="N45" s="1301" t="s">
        <v>511</v>
      </c>
      <c r="O45" s="1301" t="s">
        <v>511</v>
      </c>
      <c r="P45" s="1301">
        <v>0</v>
      </c>
      <c r="Q45" s="1301">
        <v>0</v>
      </c>
      <c r="R45" s="1301">
        <v>0</v>
      </c>
      <c r="S45" s="1301">
        <v>0</v>
      </c>
      <c r="T45" s="1301">
        <v>0</v>
      </c>
      <c r="U45" s="1301">
        <v>0</v>
      </c>
      <c r="V45" s="1301">
        <v>0</v>
      </c>
      <c r="W45" s="1301">
        <v>0</v>
      </c>
      <c r="X45" s="1301">
        <v>0</v>
      </c>
      <c r="Y45" s="1334"/>
      <c r="Z45" s="1335"/>
      <c r="AA45" s="1335"/>
      <c r="AB45" s="1335"/>
      <c r="AC45" s="1335"/>
      <c r="AD45" s="1335"/>
      <c r="AE45" s="1335"/>
      <c r="AF45" s="1335"/>
      <c r="AG45" s="1335"/>
      <c r="AH45" s="1335"/>
      <c r="AI45" s="1335"/>
      <c r="AJ45" s="1335"/>
      <c r="AK45" s="1335"/>
      <c r="AL45" s="1335"/>
      <c r="AM45" s="1335"/>
      <c r="AN45" s="1335"/>
      <c r="AO45" s="1335"/>
      <c r="AP45" s="1335"/>
      <c r="AQ45" s="1335"/>
      <c r="AR45" s="1350"/>
    </row>
    <row r="46" ht="15.75" customHeight="1" spans="2:44">
      <c r="B46" s="1299"/>
      <c r="C46" s="1299">
        <v>3</v>
      </c>
      <c r="D46" s="1300" t="s">
        <v>586</v>
      </c>
      <c r="E46" s="1301">
        <v>0</v>
      </c>
      <c r="F46" s="1301">
        <v>0</v>
      </c>
      <c r="G46" s="1301">
        <v>0</v>
      </c>
      <c r="H46" s="1301">
        <v>0</v>
      </c>
      <c r="I46" s="1301">
        <v>0</v>
      </c>
      <c r="J46" s="1301">
        <v>0</v>
      </c>
      <c r="K46" s="1301">
        <v>0</v>
      </c>
      <c r="L46" s="1301">
        <v>0</v>
      </c>
      <c r="M46" s="1301">
        <v>0</v>
      </c>
      <c r="N46" s="1301" t="s">
        <v>511</v>
      </c>
      <c r="O46" s="1301" t="s">
        <v>511</v>
      </c>
      <c r="P46" s="1301">
        <v>0</v>
      </c>
      <c r="Q46" s="1301">
        <v>0</v>
      </c>
      <c r="R46" s="1301">
        <v>0</v>
      </c>
      <c r="S46" s="1301">
        <v>0</v>
      </c>
      <c r="T46" s="1301">
        <v>0</v>
      </c>
      <c r="U46" s="1301">
        <v>0</v>
      </c>
      <c r="V46" s="1301">
        <v>0</v>
      </c>
      <c r="W46" s="1301">
        <v>0</v>
      </c>
      <c r="X46" s="1301">
        <v>0</v>
      </c>
      <c r="Y46" s="1334"/>
      <c r="Z46" s="1335"/>
      <c r="AA46" s="1335"/>
      <c r="AB46" s="1335"/>
      <c r="AC46" s="1335"/>
      <c r="AD46" s="1335"/>
      <c r="AE46" s="1335"/>
      <c r="AF46" s="1335"/>
      <c r="AG46" s="1335"/>
      <c r="AH46" s="1335"/>
      <c r="AI46" s="1335"/>
      <c r="AJ46" s="1335"/>
      <c r="AK46" s="1335"/>
      <c r="AL46" s="1335"/>
      <c r="AM46" s="1335"/>
      <c r="AN46" s="1335"/>
      <c r="AO46" s="1335"/>
      <c r="AP46" s="1335"/>
      <c r="AQ46" s="1335"/>
      <c r="AR46" s="1350"/>
    </row>
    <row r="47" s="1277" customFormat="1" ht="15.75" customHeight="1" spans="2:47">
      <c r="B47" s="1306"/>
      <c r="C47" s="1306"/>
      <c r="D47" s="1307" t="s">
        <v>587</v>
      </c>
      <c r="E47" s="1308">
        <v>1759.66900170663</v>
      </c>
      <c r="F47" s="1308">
        <v>1579.14096151066</v>
      </c>
      <c r="G47" s="1308">
        <v>180.528040195976</v>
      </c>
      <c r="H47" s="1308">
        <v>8114.66223275242</v>
      </c>
      <c r="I47" s="1308">
        <v>7395.54795954799</v>
      </c>
      <c r="J47" s="1308">
        <v>719.114273204428</v>
      </c>
      <c r="K47" s="1308">
        <v>10431.2150681729</v>
      </c>
      <c r="L47" s="1308">
        <v>9488.49392096995</v>
      </c>
      <c r="M47" s="1308">
        <v>942.721147202939</v>
      </c>
      <c r="N47" s="1308" t="s">
        <v>511</v>
      </c>
      <c r="O47" s="1308" t="s">
        <v>511</v>
      </c>
      <c r="P47" s="1308">
        <v>9348.15111943453</v>
      </c>
      <c r="Q47" s="1308">
        <v>8501.29606751335</v>
      </c>
      <c r="R47" s="1308">
        <v>846.855051921178</v>
      </c>
      <c r="S47" s="1308">
        <v>7334.57947288612</v>
      </c>
      <c r="T47" s="1308">
        <v>6679.77297497818</v>
      </c>
      <c r="U47" s="1308">
        <v>654.806497907935</v>
      </c>
      <c r="V47" s="1308">
        <v>8582.47389782564</v>
      </c>
      <c r="W47" s="1308">
        <v>7816.25959785159</v>
      </c>
      <c r="X47" s="1308">
        <v>766.214299974049</v>
      </c>
      <c r="Y47" s="1337"/>
      <c r="Z47" s="1339">
        <v>6089.2416</v>
      </c>
      <c r="AA47" s="1339">
        <v>5464.53385595174</v>
      </c>
      <c r="AB47" s="1339">
        <v>624.707744048263</v>
      </c>
      <c r="AC47" s="1339">
        <v>151906.476997125</v>
      </c>
      <c r="AD47" s="1339">
        <v>138444.657802738</v>
      </c>
      <c r="AE47" s="1339">
        <v>13461.8191943869</v>
      </c>
      <c r="AF47" s="1339">
        <v>13758.77267492</v>
      </c>
      <c r="AG47" s="1339">
        <v>12515.3234817594</v>
      </c>
      <c r="AH47" s="1339">
        <v>1243.44919316068</v>
      </c>
      <c r="AI47" s="1339">
        <v>0</v>
      </c>
      <c r="AJ47" s="1339">
        <v>0</v>
      </c>
      <c r="AK47" s="1339">
        <v>0</v>
      </c>
      <c r="AL47" s="1339">
        <v>2804.44533583036</v>
      </c>
      <c r="AM47" s="1339">
        <v>2550.38882025401</v>
      </c>
      <c r="AN47" s="1339">
        <v>254.056515576353</v>
      </c>
      <c r="AO47" s="1339">
        <v>174558.936607876</v>
      </c>
      <c r="AP47" s="1339">
        <v>158974.903960703</v>
      </c>
      <c r="AQ47" s="1339">
        <v>15584.0326471722</v>
      </c>
      <c r="AR47" s="1353"/>
      <c r="AS47" s="1355" t="s">
        <v>588</v>
      </c>
      <c r="AT47" s="1355">
        <v>-12896.1794594255</v>
      </c>
      <c r="AU47" s="1356"/>
    </row>
    <row r="48" s="1277" customFormat="1" ht="24.75" customHeight="1" spans="2:47">
      <c r="B48" s="1310"/>
      <c r="C48" s="1280"/>
      <c r="D48" s="1311"/>
      <c r="E48" s="1311"/>
      <c r="F48" s="1311"/>
      <c r="G48" s="1311"/>
      <c r="H48" s="1312"/>
      <c r="I48" s="1312"/>
      <c r="J48" s="1312"/>
      <c r="K48" s="1312"/>
      <c r="L48" s="1312"/>
      <c r="M48" s="1312"/>
      <c r="N48" s="1312"/>
      <c r="O48" s="1312"/>
      <c r="P48" s="1312"/>
      <c r="Q48" s="1312"/>
      <c r="R48" s="1312"/>
      <c r="S48" s="1312"/>
      <c r="T48" s="1312"/>
      <c r="U48" s="1312"/>
      <c r="V48" s="1280"/>
      <c r="W48" s="1280"/>
      <c r="X48" s="1280"/>
      <c r="Y48" s="1340"/>
      <c r="Z48" s="1312"/>
      <c r="AA48" s="1312"/>
      <c r="AB48" s="1312"/>
      <c r="AC48" s="1312"/>
      <c r="AD48" s="1312"/>
      <c r="AE48" s="1312"/>
      <c r="AF48" s="1312"/>
      <c r="AG48" s="1312"/>
      <c r="AH48" s="1312"/>
      <c r="AI48" s="1312"/>
      <c r="AJ48" s="1312"/>
      <c r="AK48" s="1312"/>
      <c r="AL48" s="1284"/>
      <c r="AM48" s="1284"/>
      <c r="AN48" s="1284"/>
      <c r="AO48" s="1284">
        <v>124101.247383086</v>
      </c>
      <c r="AP48" s="1284"/>
      <c r="AQ48" s="1284"/>
      <c r="AR48" s="1284"/>
      <c r="AS48" s="1284"/>
      <c r="AT48" s="1356"/>
      <c r="AU48" s="1356"/>
    </row>
    <row r="49" ht="14.25" customHeight="1" spans="4:46">
      <c r="D49" s="1311"/>
      <c r="E49" s="1311"/>
      <c r="F49" s="1311">
        <v>47374.2288453197</v>
      </c>
      <c r="G49" s="1311"/>
      <c r="H49" s="1312"/>
      <c r="I49" s="1312"/>
      <c r="J49" s="1312"/>
      <c r="K49" s="1312"/>
      <c r="L49" s="1312"/>
      <c r="M49" s="1312"/>
      <c r="N49" s="1312"/>
      <c r="O49" s="1312"/>
      <c r="P49" s="1312"/>
      <c r="Q49" s="1312"/>
      <c r="R49" s="1312"/>
      <c r="S49" s="1312"/>
      <c r="T49" s="1312"/>
      <c r="U49" s="1312"/>
      <c r="V49" s="1280"/>
      <c r="W49" s="1280"/>
      <c r="X49" s="1280"/>
      <c r="Y49" s="1340"/>
      <c r="Z49" s="1312"/>
      <c r="AA49" s="1312"/>
      <c r="AB49" s="1312"/>
      <c r="AC49" s="1312"/>
      <c r="AD49" s="1312"/>
      <c r="AE49" s="1312"/>
      <c r="AF49" s="1312"/>
      <c r="AG49" s="1312"/>
      <c r="AH49" s="1312"/>
      <c r="AI49" s="1312"/>
      <c r="AJ49" s="1312"/>
      <c r="AK49" s="1312"/>
      <c r="AL49" s="1340"/>
      <c r="AM49" s="1340"/>
      <c r="AN49" s="1340"/>
      <c r="AO49" s="1341"/>
      <c r="AP49" s="1341"/>
      <c r="AQ49" s="1341"/>
      <c r="AR49" s="1341"/>
      <c r="AS49" s="1341"/>
      <c r="AT49" s="1341"/>
    </row>
    <row r="50" ht="12.75" spans="5:46">
      <c r="E50" s="1313"/>
      <c r="F50" s="1313"/>
      <c r="G50" s="1313"/>
      <c r="H50" s="1313"/>
      <c r="I50" s="1313"/>
      <c r="J50" s="1313"/>
      <c r="K50" s="1313"/>
      <c r="L50" s="1313"/>
      <c r="M50" s="1313"/>
      <c r="N50" s="1313"/>
      <c r="O50" s="1313"/>
      <c r="P50" s="1313"/>
      <c r="Q50" s="1313"/>
      <c r="R50" s="1313"/>
      <c r="S50" s="1313"/>
      <c r="T50" s="1313"/>
      <c r="U50" s="1313"/>
      <c r="V50" s="1329"/>
      <c r="W50" s="1329"/>
      <c r="X50" s="1329"/>
      <c r="AL50" s="1340"/>
      <c r="AM50" s="1340"/>
      <c r="AN50" s="1340"/>
      <c r="AO50" s="1357"/>
      <c r="AP50" s="1358"/>
      <c r="AQ50" s="1358"/>
      <c r="AR50" s="1359"/>
      <c r="AS50" s="1341"/>
      <c r="AT50" s="1341"/>
    </row>
    <row r="51" spans="3:46">
      <c r="C51" s="1314" t="s">
        <v>589</v>
      </c>
      <c r="D51" s="1315" t="s">
        <v>590</v>
      </c>
      <c r="E51" s="1316">
        <v>1759.66900170663</v>
      </c>
      <c r="F51" s="1316">
        <v>1579.14096151066</v>
      </c>
      <c r="G51" s="1316">
        <v>180.528040195976</v>
      </c>
      <c r="H51" s="1316">
        <v>6025.37812762616</v>
      </c>
      <c r="I51" s="1316">
        <v>5506.83045340633</v>
      </c>
      <c r="J51" s="1316">
        <v>518.54767421983</v>
      </c>
      <c r="K51" s="1316">
        <v>7036.63379432408</v>
      </c>
      <c r="L51" s="1316"/>
      <c r="M51" s="1316"/>
      <c r="N51" s="1316"/>
      <c r="O51" s="1316"/>
      <c r="P51" s="1316">
        <v>7172.95020381148</v>
      </c>
      <c r="Q51" s="1316">
        <v>6534.90957242999</v>
      </c>
      <c r="R51" s="1316">
        <v>638.0406313815</v>
      </c>
      <c r="S51" s="1316">
        <v>5475.65345981967</v>
      </c>
      <c r="T51" s="1316">
        <v>4999.29969952168</v>
      </c>
      <c r="U51" s="1316">
        <v>476.353760297984</v>
      </c>
      <c r="V51" s="1316">
        <v>6407.27298220259</v>
      </c>
      <c r="W51" s="1316">
        <v>5849.87310276822</v>
      </c>
      <c r="X51" s="1316">
        <v>557.399879434372</v>
      </c>
      <c r="Y51" s="1341"/>
      <c r="AL51" s="1340"/>
      <c r="AM51" s="1340"/>
      <c r="AN51" s="1340"/>
      <c r="AO51" s="1360"/>
      <c r="AP51" s="1360"/>
      <c r="AQ51" s="1360"/>
      <c r="AR51" s="1360"/>
      <c r="AS51" s="1360"/>
      <c r="AT51" s="1360"/>
    </row>
    <row r="52" spans="3:46">
      <c r="C52" s="1317"/>
      <c r="D52" s="1318" t="s">
        <v>591</v>
      </c>
      <c r="E52" s="1319">
        <v>1759.66900170663</v>
      </c>
      <c r="F52" s="1319">
        <v>1579.14096151066</v>
      </c>
      <c r="G52" s="1319">
        <v>180.528040195976</v>
      </c>
      <c r="H52" s="1319">
        <v>5719.74472372567</v>
      </c>
      <c r="I52" s="1319">
        <v>5201.19704950584</v>
      </c>
      <c r="J52" s="1319">
        <v>518.54767421983</v>
      </c>
      <c r="K52" s="1319">
        <v>6731.00039042359</v>
      </c>
      <c r="L52" s="1319"/>
      <c r="M52" s="1319"/>
      <c r="N52" s="1319"/>
      <c r="O52" s="1319"/>
      <c r="P52" s="1319">
        <v>6867.31679991099</v>
      </c>
      <c r="Q52" s="1319">
        <v>6229.2761685295</v>
      </c>
      <c r="R52" s="1319">
        <v>638.0406313815</v>
      </c>
      <c r="S52" s="1319">
        <v>5214.45924971613</v>
      </c>
      <c r="T52" s="1319">
        <v>4738.10548941814</v>
      </c>
      <c r="U52" s="1319">
        <v>476.353760297984</v>
      </c>
      <c r="V52" s="1319">
        <v>6101.6395783021</v>
      </c>
      <c r="W52" s="1319">
        <v>5544.23969886773</v>
      </c>
      <c r="X52" s="1319">
        <v>557.399879434372</v>
      </c>
      <c r="Y52" s="1341"/>
      <c r="AL52" s="1340"/>
      <c r="AM52" s="1340"/>
      <c r="AN52" s="1340"/>
      <c r="AO52" s="1361"/>
      <c r="AP52" s="1361"/>
      <c r="AQ52" s="1361"/>
      <c r="AR52" s="1361"/>
      <c r="AS52" s="1361"/>
      <c r="AT52" s="1362"/>
    </row>
    <row r="53" spans="3:46">
      <c r="C53" s="1320"/>
      <c r="D53" s="1318" t="s">
        <v>592</v>
      </c>
      <c r="E53" s="1321">
        <v>1759.66900170663</v>
      </c>
      <c r="F53" s="1321">
        <v>1579.14096151066</v>
      </c>
      <c r="G53" s="1321">
        <v>180.528040195976</v>
      </c>
      <c r="H53" s="1321">
        <v>4626.30637372567</v>
      </c>
      <c r="I53" s="1321">
        <v>4218.40204950584</v>
      </c>
      <c r="J53" s="1321">
        <v>407.90432421983</v>
      </c>
      <c r="K53" s="1321">
        <v>6081.00039042359</v>
      </c>
      <c r="L53" s="1321"/>
      <c r="M53" s="1321"/>
      <c r="N53" s="1321"/>
      <c r="O53" s="1321"/>
      <c r="P53" s="1321">
        <v>6867.31679991099</v>
      </c>
      <c r="Q53" s="1321">
        <v>6229.2761685295</v>
      </c>
      <c r="R53" s="1321">
        <v>638.0406313815</v>
      </c>
      <c r="S53" s="1321">
        <v>4318.36633762584</v>
      </c>
      <c r="T53" s="1321">
        <v>3932.61157780425</v>
      </c>
      <c r="U53" s="1321">
        <v>385.754759821595</v>
      </c>
      <c r="V53" s="1321">
        <v>5053.08675308946</v>
      </c>
      <c r="W53" s="1321">
        <v>4601.70025310406</v>
      </c>
      <c r="X53" s="1321">
        <v>451.386499985401</v>
      </c>
      <c r="Y53" s="1341"/>
      <c r="AL53" s="1340"/>
      <c r="AM53" s="1340"/>
      <c r="AN53" s="1340"/>
      <c r="AO53" s="1363"/>
      <c r="AP53" s="1363"/>
      <c r="AQ53" s="1363"/>
      <c r="AR53" s="1363"/>
      <c r="AS53" s="1363"/>
      <c r="AT53" s="1362"/>
    </row>
    <row r="54" spans="3:46">
      <c r="C54" s="1320"/>
      <c r="D54" s="1322" t="s">
        <v>593</v>
      </c>
      <c r="E54" s="1319"/>
      <c r="F54" s="1319"/>
      <c r="G54" s="1319"/>
      <c r="H54" s="1319"/>
      <c r="I54" s="1319"/>
      <c r="J54" s="1319"/>
      <c r="K54" s="1319"/>
      <c r="L54" s="1319"/>
      <c r="M54" s="1319"/>
      <c r="N54" s="1319"/>
      <c r="O54" s="1319"/>
      <c r="P54" s="1319"/>
      <c r="Q54" s="1319"/>
      <c r="R54" s="1319"/>
      <c r="S54" s="1319"/>
      <c r="T54" s="1319"/>
      <c r="U54" s="1319"/>
      <c r="V54" s="1319"/>
      <c r="W54" s="1319"/>
      <c r="X54" s="1319"/>
      <c r="Y54" s="1341"/>
      <c r="AL54" s="1340"/>
      <c r="AM54" s="1340"/>
      <c r="AN54" s="1340"/>
      <c r="AO54" s="1363"/>
      <c r="AP54" s="1363"/>
      <c r="AQ54" s="1363"/>
      <c r="AR54" s="1363"/>
      <c r="AS54" s="1363"/>
      <c r="AT54" s="1362"/>
    </row>
    <row r="55" ht="12.75" spans="3:46">
      <c r="C55" s="1323"/>
      <c r="D55" s="1324" t="s">
        <v>594</v>
      </c>
      <c r="E55" s="1325"/>
      <c r="F55" s="1325"/>
      <c r="G55" s="1325"/>
      <c r="H55" s="1325"/>
      <c r="I55" s="1325"/>
      <c r="J55" s="1325"/>
      <c r="K55" s="1325"/>
      <c r="L55" s="1325"/>
      <c r="M55" s="1325"/>
      <c r="N55" s="1325"/>
      <c r="O55" s="1325"/>
      <c r="P55" s="1325"/>
      <c r="Q55" s="1325"/>
      <c r="R55" s="1325"/>
      <c r="S55" s="1325"/>
      <c r="T55" s="1325"/>
      <c r="U55" s="1325"/>
      <c r="V55" s="1325"/>
      <c r="W55" s="1325"/>
      <c r="X55" s="1325"/>
      <c r="Y55" s="1341"/>
      <c r="AL55" s="1340"/>
      <c r="AM55" s="1340"/>
      <c r="AN55" s="1340"/>
      <c r="AO55" s="1363"/>
      <c r="AP55" s="1363"/>
      <c r="AQ55" s="1363"/>
      <c r="AR55" s="1363"/>
      <c r="AS55" s="1363"/>
      <c r="AT55" s="1362"/>
    </row>
    <row r="56" spans="3:46">
      <c r="C56" s="1326"/>
      <c r="H56" s="1281">
        <v>4410.44444763442</v>
      </c>
      <c r="AL56" s="1340"/>
      <c r="AM56" s="1340"/>
      <c r="AN56" s="1340"/>
      <c r="AO56" s="1364"/>
      <c r="AP56" s="1364"/>
      <c r="AQ56" s="1364"/>
      <c r="AR56" s="1364"/>
      <c r="AS56" s="1364"/>
      <c r="AT56" s="1341"/>
    </row>
    <row r="57" ht="23.4" customHeight="1" spans="3:46">
      <c r="C57" s="1326"/>
      <c r="AL57" s="1340"/>
      <c r="AM57" s="1340"/>
      <c r="AN57" s="1340"/>
      <c r="AO57" s="1360"/>
      <c r="AP57" s="1360"/>
      <c r="AQ57" s="1360"/>
      <c r="AR57" s="1360"/>
      <c r="AS57" s="1360"/>
      <c r="AT57" s="1341"/>
    </row>
    <row r="58" ht="25.5" customHeight="1" spans="3:46">
      <c r="C58" s="1326"/>
      <c r="H58" s="1281">
        <v>5720.22</v>
      </c>
      <c r="AL58" s="1340"/>
      <c r="AM58" s="1340"/>
      <c r="AN58" s="1340"/>
      <c r="AO58" s="1361"/>
      <c r="AP58" s="1361"/>
      <c r="AQ58" s="1361"/>
      <c r="AR58" s="1361"/>
      <c r="AS58" s="1361"/>
      <c r="AT58" s="1341"/>
    </row>
    <row r="59" ht="25.5" customHeight="1" spans="3:46">
      <c r="C59" s="1326"/>
      <c r="AL59" s="1340"/>
      <c r="AM59" s="1340"/>
      <c r="AN59" s="1340"/>
      <c r="AO59" s="1361"/>
      <c r="AP59" s="1361"/>
      <c r="AQ59" s="1361"/>
      <c r="AR59" s="1361"/>
      <c r="AS59" s="1361"/>
      <c r="AT59" s="1341"/>
    </row>
    <row r="60" ht="25.5" customHeight="1" spans="3:46">
      <c r="C60" s="1326"/>
      <c r="AL60" s="1340"/>
      <c r="AM60" s="1340"/>
      <c r="AN60" s="1340"/>
      <c r="AO60" s="1361"/>
      <c r="AP60" s="1361"/>
      <c r="AQ60" s="1361"/>
      <c r="AR60" s="1361"/>
      <c r="AS60" s="1361"/>
      <c r="AT60" s="1341"/>
    </row>
    <row r="61" ht="25.5" customHeight="1" spans="3:46">
      <c r="C61" s="1326"/>
      <c r="AL61" s="1340"/>
      <c r="AM61" s="1340"/>
      <c r="AN61" s="1340"/>
      <c r="AO61" s="1361"/>
      <c r="AP61" s="1361"/>
      <c r="AQ61" s="1361"/>
      <c r="AR61" s="1361"/>
      <c r="AS61" s="1361"/>
      <c r="AT61" s="1341"/>
    </row>
    <row r="62" spans="3:46">
      <c r="C62" s="1326"/>
      <c r="AL62" s="1340"/>
      <c r="AM62" s="1340"/>
      <c r="AN62" s="1340"/>
      <c r="AO62" s="1364"/>
      <c r="AP62" s="1364"/>
      <c r="AQ62" s="1364"/>
      <c r="AR62" s="1364"/>
      <c r="AS62" s="1364"/>
      <c r="AT62" s="1341"/>
    </row>
    <row r="63" ht="27.75" customHeight="1" spans="3:46">
      <c r="C63" s="1326"/>
      <c r="AL63" s="1340"/>
      <c r="AM63" s="1340"/>
      <c r="AN63" s="1340"/>
      <c r="AO63" s="1360"/>
      <c r="AP63" s="1360"/>
      <c r="AQ63" s="1360"/>
      <c r="AR63" s="1360"/>
      <c r="AS63" s="1360"/>
      <c r="AT63" s="1341"/>
    </row>
    <row r="64" ht="21" customHeight="1" spans="3:46">
      <c r="C64" s="1326"/>
      <c r="AL64" s="1340"/>
      <c r="AM64" s="1340"/>
      <c r="AN64" s="1340"/>
      <c r="AO64" s="1361"/>
      <c r="AP64" s="1361"/>
      <c r="AQ64" s="1361"/>
      <c r="AR64" s="1361"/>
      <c r="AS64" s="1361"/>
      <c r="AT64" s="1341"/>
    </row>
    <row r="65" ht="21" customHeight="1" spans="3:46">
      <c r="C65" s="1326"/>
      <c r="AL65" s="1340"/>
      <c r="AM65" s="1340"/>
      <c r="AN65" s="1340"/>
      <c r="AO65" s="1361"/>
      <c r="AP65" s="1361"/>
      <c r="AQ65" s="1361"/>
      <c r="AR65" s="1361"/>
      <c r="AS65" s="1361"/>
      <c r="AT65" s="1341"/>
    </row>
    <row r="66" ht="21" customHeight="1" spans="3:46">
      <c r="C66" s="1326"/>
      <c r="AL66" s="1340"/>
      <c r="AM66" s="1340"/>
      <c r="AN66" s="1340"/>
      <c r="AO66" s="1361"/>
      <c r="AP66" s="1361"/>
      <c r="AQ66" s="1361"/>
      <c r="AR66" s="1361"/>
      <c r="AS66" s="1361"/>
      <c r="AT66" s="1341"/>
    </row>
    <row r="67" ht="21" customHeight="1" spans="3:46">
      <c r="C67" s="1326"/>
      <c r="AL67" s="1340"/>
      <c r="AM67" s="1340"/>
      <c r="AN67" s="1340"/>
      <c r="AO67" s="1365"/>
      <c r="AP67" s="1365"/>
      <c r="AQ67" s="1365"/>
      <c r="AR67" s="1365"/>
      <c r="AS67" s="1365"/>
      <c r="AT67" s="1341"/>
    </row>
    <row r="68" spans="3:46">
      <c r="C68" s="1326"/>
      <c r="AL68" s="1340"/>
      <c r="AM68" s="1340"/>
      <c r="AN68" s="1340"/>
      <c r="AO68" s="1341"/>
      <c r="AP68" s="1341"/>
      <c r="AQ68" s="1341"/>
      <c r="AR68" s="1341"/>
      <c r="AS68" s="1341"/>
      <c r="AT68" s="1341"/>
    </row>
    <row r="69" ht="27.15" customHeight="1" spans="3:46">
      <c r="C69" s="1326"/>
      <c r="AL69" s="1340"/>
      <c r="AM69" s="1340"/>
      <c r="AN69" s="1340"/>
      <c r="AO69" s="1341"/>
      <c r="AP69" s="1341"/>
      <c r="AQ69" s="1341"/>
      <c r="AR69" s="1341"/>
      <c r="AS69" s="1341"/>
      <c r="AT69" s="1341"/>
    </row>
    <row r="70" spans="3:3">
      <c r="C70" s="1326"/>
    </row>
    <row r="71" spans="3:3">
      <c r="C71" s="1326"/>
    </row>
    <row r="72" spans="3:3">
      <c r="C72" s="1326"/>
    </row>
    <row r="73" spans="3:3">
      <c r="C73" s="1326"/>
    </row>
  </sheetData>
  <mergeCells count="23">
    <mergeCell ref="E3:X3"/>
    <mergeCell ref="Z3:AQ3"/>
    <mergeCell ref="E4:G4"/>
    <mergeCell ref="H4:J4"/>
    <mergeCell ref="K4:M4"/>
    <mergeCell ref="N4:O4"/>
    <mergeCell ref="P4:R4"/>
    <mergeCell ref="S4:U4"/>
    <mergeCell ref="V4:X4"/>
    <mergeCell ref="Z4:AB4"/>
    <mergeCell ref="AC4:AE4"/>
    <mergeCell ref="AF4:AH4"/>
    <mergeCell ref="AI4:AK4"/>
    <mergeCell ref="AL4:AN4"/>
    <mergeCell ref="B3:B5"/>
    <mergeCell ref="C3:C5"/>
    <mergeCell ref="C51:C55"/>
    <mergeCell ref="D3:D5"/>
    <mergeCell ref="AO4:AO5"/>
    <mergeCell ref="AP4:AP5"/>
    <mergeCell ref="AQ4:AQ5"/>
    <mergeCell ref="AR3:AR5"/>
    <mergeCell ref="B1:AR2"/>
  </mergeCells>
  <printOptions horizontalCentered="1"/>
  <pageMargins left="0" right="0" top="0.66875" bottom="0.984027777777778" header="0.118055555555556" footer="0.118055555555556"/>
  <pageSetup paperSize="9" scale="93" orientation="landscape" horizontalDpi="300" verticalDpi="300"/>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outlinePr summaryBelow="0" summaryRight="0"/>
  </sheetPr>
  <dimension ref="A2:T273"/>
  <sheetViews>
    <sheetView zoomScale="70" zoomScaleNormal="70" workbookViewId="0">
      <pane xSplit="4" ySplit="4" topLeftCell="E11" activePane="bottomRight" state="frozen"/>
      <selection/>
      <selection pane="topRight"/>
      <selection pane="bottomLeft"/>
      <selection pane="bottomRight" activeCell="A1" sqref="A1"/>
    </sheetView>
  </sheetViews>
  <sheetFormatPr defaultColWidth="9" defaultRowHeight="24" customHeight="1"/>
  <cols>
    <col min="1" max="1" width="2.9" style="580" customWidth="1"/>
    <col min="2" max="2" width="19.1" style="554" customWidth="1"/>
    <col min="3" max="3" width="8.9" style="554" customWidth="1"/>
    <col min="4" max="4" width="21.5" style="1164" customWidth="1"/>
    <col min="5" max="5" width="19.6" style="169" customWidth="1"/>
    <col min="6" max="6" width="12.5" style="1164" customWidth="1"/>
    <col min="7" max="7" width="9.5" style="1165" customWidth="1"/>
    <col min="8" max="8" width="12.1" style="1166" customWidth="1"/>
    <col min="9" max="9" width="11" style="1167" customWidth="1"/>
    <col min="10" max="10" width="9.9" style="1167" customWidth="1"/>
    <col min="11" max="11" width="9.9" style="1166" customWidth="1"/>
    <col min="12" max="12" width="10.1" style="1167" customWidth="1"/>
    <col min="13" max="13" width="10.4" style="1167" customWidth="1"/>
    <col min="14" max="14" width="12.9" style="169" customWidth="1"/>
    <col min="15" max="15" width="8.4" style="169" customWidth="1"/>
    <col min="16" max="16" width="9.6" style="169" customWidth="1"/>
    <col min="17" max="17" width="11.1" style="580" hidden="1" customWidth="1"/>
    <col min="18" max="18" width="11.1" style="1168" customWidth="1"/>
    <col min="19" max="19" width="11.1" style="1169" customWidth="1"/>
    <col min="20" max="20" width="21.6" style="581" customWidth="1"/>
    <col min="21" max="16384" width="9" style="580"/>
  </cols>
  <sheetData>
    <row r="2" ht="24.6" customHeight="1" spans="2:20">
      <c r="B2" s="1816" t="s">
        <v>595</v>
      </c>
      <c r="C2" s="1171" t="s">
        <v>167</v>
      </c>
      <c r="D2" s="1172" t="s">
        <v>505</v>
      </c>
      <c r="E2" s="1171" t="s">
        <v>596</v>
      </c>
      <c r="F2" s="1172" t="s">
        <v>597</v>
      </c>
      <c r="G2" s="1171" t="s">
        <v>598</v>
      </c>
      <c r="H2" s="1173" t="s">
        <v>599</v>
      </c>
      <c r="I2" s="1196" t="s">
        <v>600</v>
      </c>
      <c r="J2" s="1171" t="s">
        <v>601</v>
      </c>
      <c r="K2" s="1197" t="s">
        <v>602</v>
      </c>
      <c r="L2" s="1198" t="s">
        <v>603</v>
      </c>
      <c r="M2" s="1198" t="s">
        <v>604</v>
      </c>
      <c r="Q2" s="1218" t="s">
        <v>604</v>
      </c>
      <c r="S2" s="580"/>
      <c r="T2" s="580"/>
    </row>
    <row r="3" ht="14.4" customHeight="1" spans="2:20">
      <c r="B3" s="1174"/>
      <c r="C3" s="764">
        <v>65262.6</v>
      </c>
      <c r="D3" s="764">
        <v>273546.150452951</v>
      </c>
      <c r="E3" s="764">
        <v>208000</v>
      </c>
      <c r="F3" s="764">
        <v>203390</v>
      </c>
      <c r="G3" s="764">
        <v>9935</v>
      </c>
      <c r="H3" s="1175">
        <v>65546.1504529512</v>
      </c>
      <c r="I3" s="764">
        <v>19</v>
      </c>
      <c r="J3" s="764">
        <v>1718</v>
      </c>
      <c r="K3" s="1199">
        <v>18</v>
      </c>
      <c r="L3" s="1200">
        <v>0</v>
      </c>
      <c r="M3" s="1201">
        <v>46405.18</v>
      </c>
      <c r="Q3" s="1219">
        <v>20437.23</v>
      </c>
      <c r="S3" s="580"/>
      <c r="T3" s="580"/>
    </row>
    <row r="4" s="1162" customFormat="1" ht="27.6" customHeight="1" spans="2:16">
      <c r="B4" s="1176" t="s">
        <v>21</v>
      </c>
      <c r="C4" s="403"/>
      <c r="D4" s="1177" t="s">
        <v>494</v>
      </c>
      <c r="E4" s="1177" t="s">
        <v>605</v>
      </c>
      <c r="F4" s="406" t="s">
        <v>606</v>
      </c>
      <c r="G4" s="1178" t="s">
        <v>607</v>
      </c>
      <c r="H4" s="406" t="s">
        <v>608</v>
      </c>
      <c r="I4" s="406" t="s">
        <v>609</v>
      </c>
      <c r="J4" s="485" t="s">
        <v>610</v>
      </c>
      <c r="K4" s="486" t="s">
        <v>611</v>
      </c>
      <c r="L4" s="485" t="s">
        <v>612</v>
      </c>
      <c r="M4" s="485" t="s">
        <v>613</v>
      </c>
      <c r="N4" s="52" t="s">
        <v>614</v>
      </c>
      <c r="O4" s="1177" t="s">
        <v>615</v>
      </c>
      <c r="P4" s="1177" t="s">
        <v>616</v>
      </c>
    </row>
    <row r="5" s="1163" customFormat="1" ht="23.85" customHeight="1" spans="1:16">
      <c r="A5" s="1179"/>
      <c r="B5" s="1180">
        <v>5001.01</v>
      </c>
      <c r="C5" s="593" t="s">
        <v>510</v>
      </c>
      <c r="D5" s="468" t="s">
        <v>489</v>
      </c>
      <c r="E5" s="469"/>
      <c r="F5" s="1181"/>
      <c r="G5" s="1182"/>
      <c r="H5" s="920"/>
      <c r="I5" s="973"/>
      <c r="J5" s="1202"/>
      <c r="K5" s="1203"/>
      <c r="L5" s="1202">
        <v>6666.43721842364</v>
      </c>
      <c r="M5" s="1202">
        <v>6.53378091944097</v>
      </c>
      <c r="N5" s="1204">
        <v>6672.97099934309</v>
      </c>
      <c r="O5" s="1204">
        <v>328.087467394812</v>
      </c>
      <c r="P5" s="1204">
        <v>6672.97099934309</v>
      </c>
    </row>
    <row r="6" ht="15.9" customHeight="1" outlineLevel="1" spans="1:20">
      <c r="A6" s="581"/>
      <c r="B6" s="1817" t="s">
        <v>515</v>
      </c>
      <c r="C6" s="596">
        <v>2</v>
      </c>
      <c r="D6" s="1818" t="s">
        <v>617</v>
      </c>
      <c r="E6" s="718"/>
      <c r="F6" s="1184"/>
      <c r="G6" s="770"/>
      <c r="H6" s="762"/>
      <c r="I6" s="769"/>
      <c r="J6" s="769"/>
      <c r="K6" s="493"/>
      <c r="L6" s="769">
        <v>6666.43721842364</v>
      </c>
      <c r="M6" s="769">
        <v>6.53378091944097</v>
      </c>
      <c r="N6" s="545">
        <v>6672.97099934309</v>
      </c>
      <c r="O6" s="545">
        <v>328.087467394812</v>
      </c>
      <c r="P6" s="545">
        <v>6672.97099934309</v>
      </c>
      <c r="R6" s="580"/>
      <c r="S6" s="580"/>
      <c r="T6" s="580"/>
    </row>
    <row r="7" ht="15.9" customHeight="1" outlineLevel="2" spans="1:20">
      <c r="A7" s="581"/>
      <c r="B7" s="786" t="s">
        <v>618</v>
      </c>
      <c r="C7" s="787" t="s">
        <v>619</v>
      </c>
      <c r="D7" s="610" t="s">
        <v>620</v>
      </c>
      <c r="E7" s="857"/>
      <c r="F7" s="370"/>
      <c r="G7" s="830"/>
      <c r="H7" s="1185"/>
      <c r="I7" s="1205"/>
      <c r="J7" s="1206"/>
      <c r="K7" s="519"/>
      <c r="L7" s="806">
        <v>160.5412138</v>
      </c>
      <c r="M7" s="806">
        <v>2.64395466</v>
      </c>
      <c r="N7" s="806">
        <v>163.18516846</v>
      </c>
      <c r="O7" s="1207">
        <v>8.02326409656325</v>
      </c>
      <c r="P7" s="144">
        <v>163.18516846</v>
      </c>
      <c r="R7" s="580"/>
      <c r="S7" s="580"/>
      <c r="T7" s="580"/>
    </row>
    <row r="8" ht="15.9" customHeight="1" outlineLevel="3" spans="1:20">
      <c r="A8" s="581"/>
      <c r="B8" s="786" t="s">
        <v>621</v>
      </c>
      <c r="C8" s="612" t="s">
        <v>622</v>
      </c>
      <c r="D8" s="1186" t="s">
        <v>623</v>
      </c>
      <c r="E8" s="857" t="s">
        <v>624</v>
      </c>
      <c r="F8" s="857" t="s">
        <v>167</v>
      </c>
      <c r="G8" s="1187">
        <v>1</v>
      </c>
      <c r="H8" s="1188" t="s">
        <v>625</v>
      </c>
      <c r="I8" s="1188">
        <v>65262.6</v>
      </c>
      <c r="J8" s="1208">
        <v>5</v>
      </c>
      <c r="K8" s="1209">
        <v>0</v>
      </c>
      <c r="L8" s="1208">
        <v>32.6313</v>
      </c>
      <c r="M8" s="1208">
        <v>0</v>
      </c>
      <c r="N8" s="1207">
        <v>32.6313</v>
      </c>
      <c r="O8" s="1207">
        <v>1.60437091302424</v>
      </c>
      <c r="P8" s="1207">
        <v>32.6313</v>
      </c>
      <c r="R8" s="580"/>
      <c r="S8" s="580"/>
      <c r="T8" s="580"/>
    </row>
    <row r="9" ht="15.75" outlineLevel="3" spans="1:20">
      <c r="A9" s="581"/>
      <c r="B9" s="786" t="s">
        <v>626</v>
      </c>
      <c r="C9" s="612" t="s">
        <v>622</v>
      </c>
      <c r="D9" s="1186" t="s">
        <v>627</v>
      </c>
      <c r="E9" s="857" t="s">
        <v>624</v>
      </c>
      <c r="F9" s="857" t="s">
        <v>167</v>
      </c>
      <c r="G9" s="1187">
        <v>1</v>
      </c>
      <c r="H9" s="857" t="s">
        <v>625</v>
      </c>
      <c r="I9" s="1188">
        <v>65262.6</v>
      </c>
      <c r="J9" s="1208">
        <v>0.28</v>
      </c>
      <c r="K9" s="1209">
        <v>0</v>
      </c>
      <c r="L9" s="1208">
        <v>1.8273528</v>
      </c>
      <c r="M9" s="1208">
        <v>0</v>
      </c>
      <c r="N9" s="1207">
        <v>1.8273528</v>
      </c>
      <c r="O9" s="1207">
        <v>0.0898447711293574</v>
      </c>
      <c r="P9" s="1207">
        <v>1.8273528</v>
      </c>
      <c r="R9" s="580"/>
      <c r="S9" s="580"/>
      <c r="T9" s="580"/>
    </row>
    <row r="10" ht="15.9" customHeight="1" outlineLevel="3" spans="1:20">
      <c r="A10" s="581"/>
      <c r="B10" s="786" t="s">
        <v>628</v>
      </c>
      <c r="C10" s="612" t="s">
        <v>622</v>
      </c>
      <c r="D10" s="1186" t="s">
        <v>629</v>
      </c>
      <c r="E10" s="857" t="s">
        <v>624</v>
      </c>
      <c r="F10" s="857" t="s">
        <v>167</v>
      </c>
      <c r="G10" s="1187">
        <v>1</v>
      </c>
      <c r="H10" s="1188" t="s">
        <v>625</v>
      </c>
      <c r="I10" s="1188">
        <v>65262.6</v>
      </c>
      <c r="J10" s="1208">
        <v>0.7</v>
      </c>
      <c r="K10" s="1209">
        <v>0</v>
      </c>
      <c r="L10" s="1208">
        <v>4.568382</v>
      </c>
      <c r="M10" s="1208">
        <v>0</v>
      </c>
      <c r="N10" s="1207">
        <v>4.568382</v>
      </c>
      <c r="O10" s="1207">
        <v>0.224611927823393</v>
      </c>
      <c r="P10" s="1207">
        <v>4.568382</v>
      </c>
      <c r="R10" s="580"/>
      <c r="S10" s="580"/>
      <c r="T10" s="580"/>
    </row>
    <row r="11" ht="15.9" customHeight="1" outlineLevel="3" spans="1:20">
      <c r="A11" s="581"/>
      <c r="B11" s="786" t="s">
        <v>630</v>
      </c>
      <c r="C11" s="612" t="s">
        <v>622</v>
      </c>
      <c r="D11" s="1186" t="s">
        <v>631</v>
      </c>
      <c r="E11" s="857" t="s">
        <v>624</v>
      </c>
      <c r="F11" s="857" t="s">
        <v>167</v>
      </c>
      <c r="G11" s="1189">
        <v>1</v>
      </c>
      <c r="H11" s="1188" t="s">
        <v>625</v>
      </c>
      <c r="I11" s="1188">
        <v>65262.6</v>
      </c>
      <c r="J11" s="1208">
        <v>0.8</v>
      </c>
      <c r="K11" s="1209">
        <v>0</v>
      </c>
      <c r="L11" s="1208">
        <v>5.221008</v>
      </c>
      <c r="M11" s="1208">
        <v>0</v>
      </c>
      <c r="N11" s="1207">
        <v>5.221008</v>
      </c>
      <c r="O11" s="1207">
        <v>0.256699346083878</v>
      </c>
      <c r="P11" s="1207">
        <v>5.221008</v>
      </c>
      <c r="R11" s="580"/>
      <c r="S11" s="580"/>
      <c r="T11" s="580"/>
    </row>
    <row r="12" ht="15.9" customHeight="1" outlineLevel="3" spans="1:20">
      <c r="A12" s="581"/>
      <c r="B12" s="786" t="s">
        <v>632</v>
      </c>
      <c r="C12" s="612" t="s">
        <v>622</v>
      </c>
      <c r="D12" s="1186" t="s">
        <v>633</v>
      </c>
      <c r="E12" s="857" t="s">
        <v>624</v>
      </c>
      <c r="F12" s="857" t="s">
        <v>167</v>
      </c>
      <c r="G12" s="1189">
        <v>1</v>
      </c>
      <c r="H12" s="1188" t="s">
        <v>625</v>
      </c>
      <c r="I12" s="1188">
        <v>65262.6</v>
      </c>
      <c r="J12" s="1208">
        <v>0.5</v>
      </c>
      <c r="K12" s="1209">
        <v>0</v>
      </c>
      <c r="L12" s="1208">
        <v>3.26313</v>
      </c>
      <c r="M12" s="1208">
        <v>0</v>
      </c>
      <c r="N12" s="1207">
        <v>3.26313</v>
      </c>
      <c r="O12" s="1207">
        <v>0.160437091302424</v>
      </c>
      <c r="P12" s="1207">
        <v>3.26313</v>
      </c>
      <c r="R12" s="580"/>
      <c r="S12" s="580"/>
      <c r="T12" s="580"/>
    </row>
    <row r="13" ht="15.9" customHeight="1" outlineLevel="3" spans="1:20">
      <c r="A13" s="581"/>
      <c r="B13" s="786" t="s">
        <v>634</v>
      </c>
      <c r="C13" s="612" t="s">
        <v>622</v>
      </c>
      <c r="D13" s="1186" t="s">
        <v>635</v>
      </c>
      <c r="E13" s="857" t="s">
        <v>624</v>
      </c>
      <c r="F13" s="857" t="s">
        <v>167</v>
      </c>
      <c r="G13" s="1189">
        <v>1</v>
      </c>
      <c r="H13" s="1188" t="s">
        <v>625</v>
      </c>
      <c r="I13" s="1188">
        <v>65262.6</v>
      </c>
      <c r="J13" s="1208">
        <v>0.5</v>
      </c>
      <c r="K13" s="1209">
        <v>0</v>
      </c>
      <c r="L13" s="1208">
        <v>3.26313</v>
      </c>
      <c r="M13" s="1208">
        <v>0</v>
      </c>
      <c r="N13" s="1207">
        <v>3.26313</v>
      </c>
      <c r="O13" s="1207">
        <v>0.160437091302424</v>
      </c>
      <c r="P13" s="1207">
        <v>3.26313</v>
      </c>
      <c r="R13" s="580"/>
      <c r="S13" s="580"/>
      <c r="T13" s="580"/>
    </row>
    <row r="14" ht="15.9" customHeight="1" outlineLevel="3" spans="1:20">
      <c r="A14" s="581"/>
      <c r="B14" s="786" t="s">
        <v>636</v>
      </c>
      <c r="C14" s="612" t="s">
        <v>622</v>
      </c>
      <c r="D14" s="1186" t="s">
        <v>637</v>
      </c>
      <c r="E14" s="857" t="s">
        <v>638</v>
      </c>
      <c r="F14" s="857" t="s">
        <v>639</v>
      </c>
      <c r="G14" s="1189">
        <v>1</v>
      </c>
      <c r="H14" s="1188" t="s">
        <v>625</v>
      </c>
      <c r="I14" s="1188">
        <v>208000</v>
      </c>
      <c r="J14" s="1208">
        <v>1.42</v>
      </c>
      <c r="K14" s="1209">
        <v>0.06</v>
      </c>
      <c r="L14" s="1208">
        <v>29.536</v>
      </c>
      <c r="M14" s="1208">
        <v>1.77216</v>
      </c>
      <c r="N14" s="1207">
        <v>31.30816</v>
      </c>
      <c r="O14" s="1207">
        <v>1.53931658390285</v>
      </c>
      <c r="P14" s="1207">
        <v>31.30816</v>
      </c>
      <c r="R14" s="580"/>
      <c r="S14" s="580"/>
      <c r="T14" s="580"/>
    </row>
    <row r="15" ht="15.9" customHeight="1" outlineLevel="3" spans="1:20">
      <c r="A15" s="581"/>
      <c r="B15" s="786" t="s">
        <v>640</v>
      </c>
      <c r="C15" s="612" t="s">
        <v>622</v>
      </c>
      <c r="D15" s="1186" t="s">
        <v>641</v>
      </c>
      <c r="E15" s="857" t="s">
        <v>624</v>
      </c>
      <c r="F15" s="857" t="s">
        <v>642</v>
      </c>
      <c r="G15" s="1189">
        <v>6</v>
      </c>
      <c r="H15" s="1188" t="s">
        <v>625</v>
      </c>
      <c r="I15" s="1188">
        <v>19</v>
      </c>
      <c r="J15" s="1208">
        <v>2000</v>
      </c>
      <c r="K15" s="1209">
        <v>0</v>
      </c>
      <c r="L15" s="1208">
        <v>22.8</v>
      </c>
      <c r="M15" s="1208">
        <v>0</v>
      </c>
      <c r="N15" s="1207">
        <v>22.8</v>
      </c>
      <c r="O15" s="1207">
        <v>1.12099906583411</v>
      </c>
      <c r="P15" s="1207">
        <v>22.8</v>
      </c>
      <c r="R15" s="580"/>
      <c r="S15" s="580"/>
      <c r="T15" s="580"/>
    </row>
    <row r="16" ht="15.9" customHeight="1" outlineLevel="3" spans="1:20">
      <c r="A16" s="581"/>
      <c r="B16" s="786" t="s">
        <v>643</v>
      </c>
      <c r="C16" s="612" t="s">
        <v>622</v>
      </c>
      <c r="D16" s="1186" t="s">
        <v>644</v>
      </c>
      <c r="E16" s="857" t="s">
        <v>624</v>
      </c>
      <c r="F16" s="857" t="s">
        <v>645</v>
      </c>
      <c r="G16" s="1189">
        <v>1</v>
      </c>
      <c r="H16" s="1188" t="s">
        <v>625</v>
      </c>
      <c r="I16" s="1188">
        <v>1400</v>
      </c>
      <c r="J16" s="1208">
        <v>6</v>
      </c>
      <c r="K16" s="1209">
        <v>0</v>
      </c>
      <c r="L16" s="1208">
        <v>0.84</v>
      </c>
      <c r="M16" s="1208">
        <v>0</v>
      </c>
      <c r="N16" s="1207">
        <v>0.84</v>
      </c>
      <c r="O16" s="1207">
        <v>0.041299965583362</v>
      </c>
      <c r="P16" s="1207">
        <v>0.84</v>
      </c>
      <c r="R16" s="580"/>
      <c r="S16" s="580"/>
      <c r="T16" s="580"/>
    </row>
    <row r="17" ht="15.9" customHeight="1" outlineLevel="3" spans="1:20">
      <c r="A17" s="581"/>
      <c r="B17" s="786" t="s">
        <v>646</v>
      </c>
      <c r="C17" s="612" t="s">
        <v>622</v>
      </c>
      <c r="D17" s="1186" t="s">
        <v>647</v>
      </c>
      <c r="E17" s="857" t="s">
        <v>624</v>
      </c>
      <c r="F17" s="857" t="s">
        <v>505</v>
      </c>
      <c r="G17" s="1189">
        <v>1</v>
      </c>
      <c r="H17" s="1188" t="s">
        <v>625</v>
      </c>
      <c r="I17" s="1188">
        <v>203390</v>
      </c>
      <c r="J17" s="1208">
        <v>2</v>
      </c>
      <c r="K17" s="1209">
        <v>0</v>
      </c>
      <c r="L17" s="1208">
        <v>40.678</v>
      </c>
      <c r="M17" s="1208">
        <v>0</v>
      </c>
      <c r="N17" s="1207">
        <v>40.678</v>
      </c>
      <c r="O17" s="1207">
        <v>2</v>
      </c>
      <c r="P17" s="1207">
        <v>40.678</v>
      </c>
      <c r="R17" s="580"/>
      <c r="S17" s="580"/>
      <c r="T17" s="580"/>
    </row>
    <row r="18" ht="15.9" customHeight="1" outlineLevel="3" spans="1:20">
      <c r="A18" s="581"/>
      <c r="B18" s="786" t="s">
        <v>648</v>
      </c>
      <c r="C18" s="612" t="s">
        <v>622</v>
      </c>
      <c r="D18" s="1186" t="s">
        <v>649</v>
      </c>
      <c r="E18" s="857" t="s">
        <v>624</v>
      </c>
      <c r="F18" s="857" t="s">
        <v>505</v>
      </c>
      <c r="G18" s="1189">
        <v>1</v>
      </c>
      <c r="H18" s="1188" t="s">
        <v>625</v>
      </c>
      <c r="I18" s="1188">
        <v>4610</v>
      </c>
      <c r="J18" s="1208">
        <v>3</v>
      </c>
      <c r="K18" s="1209">
        <v>0</v>
      </c>
      <c r="L18" s="1208">
        <v>1.383</v>
      </c>
      <c r="M18" s="1208">
        <v>0</v>
      </c>
      <c r="N18" s="1207">
        <v>1.383</v>
      </c>
      <c r="O18" s="1207">
        <v>0.0679974433354639</v>
      </c>
      <c r="P18" s="1207">
        <v>1.383</v>
      </c>
      <c r="R18" s="580"/>
      <c r="S18" s="580"/>
      <c r="T18" s="580"/>
    </row>
    <row r="19" ht="15.9" customHeight="1" outlineLevel="3" spans="1:20">
      <c r="A19" s="581"/>
      <c r="B19" s="786" t="s">
        <v>650</v>
      </c>
      <c r="C19" s="612" t="s">
        <v>622</v>
      </c>
      <c r="D19" s="1186" t="s">
        <v>651</v>
      </c>
      <c r="E19" s="857" t="s">
        <v>638</v>
      </c>
      <c r="F19" s="857" t="s">
        <v>505</v>
      </c>
      <c r="G19" s="1189">
        <v>1</v>
      </c>
      <c r="H19" s="1188" t="s">
        <v>652</v>
      </c>
      <c r="I19" s="1188">
        <v>19</v>
      </c>
      <c r="J19" s="1208">
        <v>2830.19</v>
      </c>
      <c r="K19" s="1209">
        <v>0.06</v>
      </c>
      <c r="L19" s="1208">
        <v>5.377361</v>
      </c>
      <c r="M19" s="1208">
        <v>0.32264166</v>
      </c>
      <c r="N19" s="1207">
        <v>5.70000266</v>
      </c>
      <c r="O19" s="1207">
        <v>0.280249897241752</v>
      </c>
      <c r="P19" s="1207">
        <v>5.70000266</v>
      </c>
      <c r="R19" s="580"/>
      <c r="S19" s="580"/>
      <c r="T19" s="580"/>
    </row>
    <row r="20" ht="15.9" customHeight="1" outlineLevel="3" spans="1:20">
      <c r="A20" s="581"/>
      <c r="B20" s="786" t="s">
        <v>653</v>
      </c>
      <c r="C20" s="612" t="s">
        <v>622</v>
      </c>
      <c r="D20" s="1186" t="s">
        <v>654</v>
      </c>
      <c r="E20" s="857" t="s">
        <v>638</v>
      </c>
      <c r="F20" s="857" t="s">
        <v>399</v>
      </c>
      <c r="G20" s="1190">
        <v>1</v>
      </c>
      <c r="H20" s="857" t="s">
        <v>655</v>
      </c>
      <c r="I20" s="1210">
        <v>203390</v>
      </c>
      <c r="J20" s="1211">
        <v>0.45</v>
      </c>
      <c r="K20" s="1209">
        <v>0.06</v>
      </c>
      <c r="L20" s="1208">
        <v>9.15255</v>
      </c>
      <c r="M20" s="1208">
        <v>0.549153</v>
      </c>
      <c r="N20" s="1207">
        <v>9.701703</v>
      </c>
      <c r="O20" s="1207">
        <v>0.477</v>
      </c>
      <c r="P20" s="1207">
        <v>9.701703</v>
      </c>
      <c r="R20" s="580"/>
      <c r="S20" s="580"/>
      <c r="T20" s="580"/>
    </row>
    <row r="21" ht="15.9" customHeight="1" outlineLevel="2" spans="1:20">
      <c r="A21" s="581"/>
      <c r="B21" s="786" t="s">
        <v>656</v>
      </c>
      <c r="C21" s="787" t="s">
        <v>657</v>
      </c>
      <c r="D21" s="1191" t="s">
        <v>658</v>
      </c>
      <c r="E21" s="857"/>
      <c r="F21" s="857"/>
      <c r="G21" s="1187"/>
      <c r="H21" s="1188"/>
      <c r="I21" s="1188"/>
      <c r="J21" s="1211"/>
      <c r="K21" s="1209"/>
      <c r="L21" s="1207">
        <v>6505.89600462364</v>
      </c>
      <c r="M21" s="1207">
        <v>3.88982625944097</v>
      </c>
      <c r="N21" s="1207">
        <v>6509.78583088309</v>
      </c>
      <c r="O21" s="1207">
        <v>320.064203298249</v>
      </c>
      <c r="P21" s="1207">
        <v>6509.78583088309</v>
      </c>
      <c r="R21" s="580"/>
      <c r="S21" s="580"/>
      <c r="T21" s="580"/>
    </row>
    <row r="22" ht="15.9" customHeight="1" outlineLevel="3" spans="1:20">
      <c r="A22" s="581"/>
      <c r="B22" s="786" t="s">
        <v>659</v>
      </c>
      <c r="C22" s="612" t="s">
        <v>622</v>
      </c>
      <c r="D22" s="1186" t="s">
        <v>660</v>
      </c>
      <c r="E22" s="857" t="s">
        <v>661</v>
      </c>
      <c r="F22" s="1192" t="s">
        <v>662</v>
      </c>
      <c r="G22" s="1190">
        <v>1</v>
      </c>
      <c r="H22" s="1188" t="s">
        <v>625</v>
      </c>
      <c r="I22" s="1212">
        <v>251662.471602866</v>
      </c>
      <c r="J22" s="1211">
        <v>105</v>
      </c>
      <c r="K22" s="1209">
        <v>0</v>
      </c>
      <c r="L22" s="1208">
        <v>2642.45595183009</v>
      </c>
      <c r="M22" s="1208">
        <v>0</v>
      </c>
      <c r="N22" s="1207">
        <v>2642.45595183009</v>
      </c>
      <c r="O22" s="1207">
        <v>129.920642697777</v>
      </c>
      <c r="P22" s="1207">
        <v>2642.45595183009</v>
      </c>
      <c r="R22" s="580"/>
      <c r="S22" s="580"/>
      <c r="T22" s="580"/>
    </row>
    <row r="23" ht="15.9" customHeight="1" outlineLevel="3" spans="1:20">
      <c r="A23" s="581"/>
      <c r="B23" s="786" t="s">
        <v>663</v>
      </c>
      <c r="C23" s="612" t="s">
        <v>622</v>
      </c>
      <c r="D23" s="1186" t="s">
        <v>664</v>
      </c>
      <c r="E23" s="857" t="s">
        <v>661</v>
      </c>
      <c r="F23" s="857" t="s">
        <v>665</v>
      </c>
      <c r="G23" s="1190">
        <v>1</v>
      </c>
      <c r="H23" s="1188" t="s">
        <v>625</v>
      </c>
      <c r="I23" s="1188">
        <v>273546.150452951</v>
      </c>
      <c r="J23" s="1208"/>
      <c r="K23" s="1209">
        <v>0</v>
      </c>
      <c r="L23" s="1213">
        <v>1283.54337172121</v>
      </c>
      <c r="M23" s="1208">
        <v>0</v>
      </c>
      <c r="N23" s="1207">
        <v>1283.54337172121</v>
      </c>
      <c r="O23" s="1207">
        <v>63.107496520046</v>
      </c>
      <c r="P23" s="1207">
        <v>1283.54337172121</v>
      </c>
      <c r="R23" s="580"/>
      <c r="S23" s="580"/>
      <c r="T23" s="580"/>
    </row>
    <row r="24" ht="15.9" customHeight="1" outlineLevel="3" spans="1:20">
      <c r="A24" s="581"/>
      <c r="B24" s="786" t="s">
        <v>666</v>
      </c>
      <c r="C24" s="612" t="s">
        <v>622</v>
      </c>
      <c r="D24" s="1186" t="s">
        <v>667</v>
      </c>
      <c r="E24" s="857" t="s">
        <v>661</v>
      </c>
      <c r="F24" s="857" t="s">
        <v>668</v>
      </c>
      <c r="G24" s="1187">
        <v>1</v>
      </c>
      <c r="H24" s="1188" t="s">
        <v>669</v>
      </c>
      <c r="I24" s="1188">
        <v>2</v>
      </c>
      <c r="J24" s="1208">
        <v>150000</v>
      </c>
      <c r="K24" s="1209">
        <v>0</v>
      </c>
      <c r="L24" s="1208">
        <v>30</v>
      </c>
      <c r="M24" s="1208">
        <v>0</v>
      </c>
      <c r="N24" s="1207">
        <v>30</v>
      </c>
      <c r="O24" s="1207">
        <v>1.47499877083436</v>
      </c>
      <c r="P24" s="1207">
        <v>30</v>
      </c>
      <c r="R24" s="580"/>
      <c r="S24" s="580"/>
      <c r="T24" s="580"/>
    </row>
    <row r="25" ht="15.9" customHeight="1" outlineLevel="3" spans="1:20">
      <c r="A25" s="581"/>
      <c r="B25" s="786" t="s">
        <v>670</v>
      </c>
      <c r="C25" s="612" t="s">
        <v>622</v>
      </c>
      <c r="D25" s="1186" t="s">
        <v>671</v>
      </c>
      <c r="E25" s="857" t="s">
        <v>661</v>
      </c>
      <c r="F25" s="857" t="s">
        <v>672</v>
      </c>
      <c r="G25" s="1187">
        <v>3</v>
      </c>
      <c r="H25" s="1188" t="s">
        <v>625</v>
      </c>
      <c r="I25" s="1188">
        <v>100</v>
      </c>
      <c r="J25" s="1208">
        <v>2500</v>
      </c>
      <c r="K25" s="1209">
        <v>0</v>
      </c>
      <c r="L25" s="1208">
        <v>75</v>
      </c>
      <c r="M25" s="1208">
        <v>0</v>
      </c>
      <c r="N25" s="1207">
        <v>75</v>
      </c>
      <c r="O25" s="1207">
        <v>3.68749692708589</v>
      </c>
      <c r="P25" s="1207">
        <v>75</v>
      </c>
      <c r="R25" s="580"/>
      <c r="S25" s="580"/>
      <c r="T25" s="580"/>
    </row>
    <row r="26" ht="15.9" customHeight="1" outlineLevel="3" spans="1:20">
      <c r="A26" s="581"/>
      <c r="B26" s="786" t="s">
        <v>673</v>
      </c>
      <c r="C26" s="612" t="s">
        <v>622</v>
      </c>
      <c r="D26" s="1186" t="s">
        <v>674</v>
      </c>
      <c r="E26" s="857" t="s">
        <v>661</v>
      </c>
      <c r="F26" s="857"/>
      <c r="G26" s="1190"/>
      <c r="H26" s="1188"/>
      <c r="I26" s="1188"/>
      <c r="J26" s="1208"/>
      <c r="K26" s="1209">
        <v>0</v>
      </c>
      <c r="L26" s="1208">
        <v>0</v>
      </c>
      <c r="M26" s="1208">
        <v>0</v>
      </c>
      <c r="N26" s="1207">
        <v>0</v>
      </c>
      <c r="O26" s="1207">
        <v>0</v>
      </c>
      <c r="P26" s="1207">
        <v>0</v>
      </c>
      <c r="R26" s="580"/>
      <c r="S26" s="580"/>
      <c r="T26" s="580"/>
    </row>
    <row r="27" ht="15.9" customHeight="1" outlineLevel="3" spans="1:20">
      <c r="A27" s="581"/>
      <c r="B27" s="786" t="s">
        <v>675</v>
      </c>
      <c r="C27" s="612" t="s">
        <v>622</v>
      </c>
      <c r="D27" s="1186" t="s">
        <v>676</v>
      </c>
      <c r="E27" s="857" t="s">
        <v>661</v>
      </c>
      <c r="F27" s="857" t="s">
        <v>639</v>
      </c>
      <c r="G27" s="1190">
        <v>1</v>
      </c>
      <c r="H27" s="1188" t="s">
        <v>625</v>
      </c>
      <c r="I27" s="1188">
        <v>208000</v>
      </c>
      <c r="J27" s="1213">
        <v>70</v>
      </c>
      <c r="K27" s="1209">
        <v>0</v>
      </c>
      <c r="L27" s="1208">
        <v>1456</v>
      </c>
      <c r="M27" s="1208">
        <v>0</v>
      </c>
      <c r="N27" s="1207">
        <v>1456</v>
      </c>
      <c r="O27" s="1207">
        <v>71.5866070111608</v>
      </c>
      <c r="P27" s="1207">
        <v>1456</v>
      </c>
      <c r="R27" s="580"/>
      <c r="S27" s="580"/>
      <c r="T27" s="580"/>
    </row>
    <row r="28" ht="15.9" customHeight="1" outlineLevel="3" spans="1:20">
      <c r="A28" s="581"/>
      <c r="B28" s="786" t="s">
        <v>677</v>
      </c>
      <c r="C28" s="612" t="s">
        <v>622</v>
      </c>
      <c r="D28" s="1186" t="s">
        <v>678</v>
      </c>
      <c r="E28" s="857" t="s">
        <v>661</v>
      </c>
      <c r="F28" s="857" t="s">
        <v>167</v>
      </c>
      <c r="G28" s="1190">
        <v>1</v>
      </c>
      <c r="H28" s="1190" t="s">
        <v>625</v>
      </c>
      <c r="I28" s="1188">
        <v>65262.6</v>
      </c>
      <c r="J28" s="1208">
        <v>0.5</v>
      </c>
      <c r="K28" s="1209">
        <v>0</v>
      </c>
      <c r="L28" s="1208">
        <v>3.26313</v>
      </c>
      <c r="M28" s="1208">
        <v>0</v>
      </c>
      <c r="N28" s="1207">
        <v>3.26313</v>
      </c>
      <c r="O28" s="1207">
        <v>0.160437091302424</v>
      </c>
      <c r="P28" s="1207">
        <v>3.26313</v>
      </c>
      <c r="R28" s="580"/>
      <c r="S28" s="580"/>
      <c r="T28" s="580"/>
    </row>
    <row r="29" ht="15.9" customHeight="1" outlineLevel="3" spans="1:20">
      <c r="A29" s="581"/>
      <c r="B29" s="786" t="s">
        <v>679</v>
      </c>
      <c r="C29" s="612" t="s">
        <v>622</v>
      </c>
      <c r="D29" s="1186" t="s">
        <v>680</v>
      </c>
      <c r="E29" s="857" t="s">
        <v>661</v>
      </c>
      <c r="F29" s="857" t="s">
        <v>167</v>
      </c>
      <c r="G29" s="1190">
        <v>1</v>
      </c>
      <c r="H29" s="1190" t="s">
        <v>681</v>
      </c>
      <c r="I29" s="1188">
        <v>65262.6</v>
      </c>
      <c r="J29" s="1208">
        <v>0.3</v>
      </c>
      <c r="K29" s="1209">
        <v>0</v>
      </c>
      <c r="L29" s="1208">
        <v>1.957878</v>
      </c>
      <c r="M29" s="1208">
        <v>0</v>
      </c>
      <c r="N29" s="1207">
        <v>1.957878</v>
      </c>
      <c r="O29" s="1207">
        <v>0.0962622547814543</v>
      </c>
      <c r="P29" s="1207">
        <v>1.957878</v>
      </c>
      <c r="R29" s="580"/>
      <c r="S29" s="580"/>
      <c r="T29" s="580"/>
    </row>
    <row r="30" ht="15.9" customHeight="1" outlineLevel="3" spans="1:20">
      <c r="A30" s="581"/>
      <c r="B30" s="786" t="s">
        <v>682</v>
      </c>
      <c r="C30" s="612" t="s">
        <v>622</v>
      </c>
      <c r="D30" s="1186" t="s">
        <v>683</v>
      </c>
      <c r="E30" s="857" t="s">
        <v>661</v>
      </c>
      <c r="F30" s="857" t="s">
        <v>505</v>
      </c>
      <c r="G30" s="1190">
        <v>1</v>
      </c>
      <c r="H30" s="1190" t="s">
        <v>625</v>
      </c>
      <c r="I30" s="1210">
        <v>273546.150452951</v>
      </c>
      <c r="J30" s="1211">
        <v>10</v>
      </c>
      <c r="K30" s="1209">
        <v>0</v>
      </c>
      <c r="L30" s="1208">
        <v>273.546150452951</v>
      </c>
      <c r="M30" s="1208">
        <v>0</v>
      </c>
      <c r="N30" s="1207">
        <v>273.546150452951</v>
      </c>
      <c r="O30" s="1207">
        <v>13.4493411894858</v>
      </c>
      <c r="P30" s="1207">
        <v>273.546150452951</v>
      </c>
      <c r="R30" s="580"/>
      <c r="S30" s="580"/>
      <c r="T30" s="580"/>
    </row>
    <row r="31" ht="15.9" customHeight="1" outlineLevel="3" spans="1:20">
      <c r="A31" s="581"/>
      <c r="B31" s="786" t="s">
        <v>684</v>
      </c>
      <c r="C31" s="612" t="s">
        <v>622</v>
      </c>
      <c r="D31" s="1186" t="s">
        <v>685</v>
      </c>
      <c r="E31" s="857" t="s">
        <v>661</v>
      </c>
      <c r="F31" s="857" t="s">
        <v>505</v>
      </c>
      <c r="G31" s="1190">
        <v>0.1</v>
      </c>
      <c r="H31" s="1190" t="s">
        <v>625</v>
      </c>
      <c r="I31" s="1210">
        <v>273546.150452951</v>
      </c>
      <c r="J31" s="1211">
        <v>2</v>
      </c>
      <c r="K31" s="1209">
        <v>0</v>
      </c>
      <c r="L31" s="1208">
        <v>5.47092300905903</v>
      </c>
      <c r="M31" s="1208">
        <v>0</v>
      </c>
      <c r="N31" s="1207">
        <v>5.47092300905903</v>
      </c>
      <c r="O31" s="1214">
        <v>0.268986823789716</v>
      </c>
      <c r="P31" s="1207">
        <v>5.47092300905903</v>
      </c>
      <c r="R31" s="580"/>
      <c r="S31" s="580"/>
      <c r="T31" s="580"/>
    </row>
    <row r="32" ht="15.9" customHeight="1" outlineLevel="3" spans="1:20">
      <c r="A32" s="581"/>
      <c r="B32" s="786" t="s">
        <v>686</v>
      </c>
      <c r="C32" s="612" t="s">
        <v>622</v>
      </c>
      <c r="D32" s="1186" t="s">
        <v>687</v>
      </c>
      <c r="E32" s="857" t="s">
        <v>661</v>
      </c>
      <c r="F32" s="857" t="s">
        <v>505</v>
      </c>
      <c r="G32" s="1190">
        <v>0.1</v>
      </c>
      <c r="H32" s="1187" t="s">
        <v>625</v>
      </c>
      <c r="I32" s="1188">
        <v>273546.150452951</v>
      </c>
      <c r="J32" s="1208">
        <v>10</v>
      </c>
      <c r="K32" s="1209">
        <v>0</v>
      </c>
      <c r="L32" s="1208">
        <v>27.3546150452951</v>
      </c>
      <c r="M32" s="1208">
        <v>0</v>
      </c>
      <c r="N32" s="1207">
        <v>27.3546150452951</v>
      </c>
      <c r="O32" s="1207">
        <v>1.34493411894858</v>
      </c>
      <c r="P32" s="1207">
        <v>27.3546150452951</v>
      </c>
      <c r="R32" s="580"/>
      <c r="S32" s="580"/>
      <c r="T32" s="580"/>
    </row>
    <row r="33" ht="15.9" customHeight="1" outlineLevel="3" spans="1:20">
      <c r="A33" s="581"/>
      <c r="B33" s="786" t="s">
        <v>688</v>
      </c>
      <c r="C33" s="612" t="s">
        <v>622</v>
      </c>
      <c r="D33" s="1186" t="s">
        <v>689</v>
      </c>
      <c r="E33" s="857" t="s">
        <v>661</v>
      </c>
      <c r="F33" s="857"/>
      <c r="G33" s="1190">
        <v>1</v>
      </c>
      <c r="H33" s="857" t="s">
        <v>690</v>
      </c>
      <c r="I33" s="1188">
        <v>2</v>
      </c>
      <c r="J33" s="1208">
        <v>30000</v>
      </c>
      <c r="K33" s="1209">
        <v>0</v>
      </c>
      <c r="L33" s="1208">
        <v>6</v>
      </c>
      <c r="M33" s="1208">
        <v>0</v>
      </c>
      <c r="N33" s="1207">
        <v>6</v>
      </c>
      <c r="O33" s="1207">
        <v>0.294999754166872</v>
      </c>
      <c r="P33" s="1207">
        <v>6</v>
      </c>
      <c r="R33" s="580"/>
      <c r="S33" s="580"/>
      <c r="T33" s="580"/>
    </row>
    <row r="34" ht="15.9" customHeight="1" outlineLevel="3" spans="1:20">
      <c r="A34" s="581"/>
      <c r="B34" s="786" t="s">
        <v>691</v>
      </c>
      <c r="C34" s="612" t="s">
        <v>622</v>
      </c>
      <c r="D34" s="1186" t="s">
        <v>692</v>
      </c>
      <c r="E34" s="857" t="s">
        <v>661</v>
      </c>
      <c r="F34" s="857"/>
      <c r="G34" s="1190">
        <v>1</v>
      </c>
      <c r="H34" s="857" t="s">
        <v>690</v>
      </c>
      <c r="I34" s="1188">
        <v>2</v>
      </c>
      <c r="J34" s="1208">
        <v>25000</v>
      </c>
      <c r="K34" s="1209">
        <v>0</v>
      </c>
      <c r="L34" s="1208">
        <v>5</v>
      </c>
      <c r="M34" s="1208">
        <v>0</v>
      </c>
      <c r="N34" s="1207">
        <v>5</v>
      </c>
      <c r="O34" s="1207">
        <v>0.245833128472393</v>
      </c>
      <c r="P34" s="1207">
        <v>5</v>
      </c>
      <c r="R34" s="580"/>
      <c r="S34" s="580"/>
      <c r="T34" s="580"/>
    </row>
    <row r="35" ht="15.9" customHeight="1" outlineLevel="3" spans="1:20">
      <c r="A35" s="581"/>
      <c r="B35" s="786" t="s">
        <v>693</v>
      </c>
      <c r="C35" s="612" t="s">
        <v>622</v>
      </c>
      <c r="D35" s="1186" t="s">
        <v>694</v>
      </c>
      <c r="E35" s="857" t="s">
        <v>661</v>
      </c>
      <c r="F35" s="857"/>
      <c r="G35" s="1190">
        <v>1</v>
      </c>
      <c r="H35" s="857" t="s">
        <v>690</v>
      </c>
      <c r="I35" s="1188">
        <v>2</v>
      </c>
      <c r="J35" s="1208">
        <v>6900</v>
      </c>
      <c r="K35" s="1209">
        <v>0</v>
      </c>
      <c r="L35" s="1208">
        <v>1.38</v>
      </c>
      <c r="M35" s="1208">
        <v>0</v>
      </c>
      <c r="N35" s="1207">
        <v>1.38</v>
      </c>
      <c r="O35" s="1207">
        <v>0.0678499434583804</v>
      </c>
      <c r="P35" s="1207">
        <v>1.38</v>
      </c>
      <c r="R35" s="580"/>
      <c r="S35" s="580"/>
      <c r="T35" s="580"/>
    </row>
    <row r="36" ht="15.9" customHeight="1" outlineLevel="3" spans="1:20">
      <c r="A36" s="581"/>
      <c r="B36" s="786" t="s">
        <v>695</v>
      </c>
      <c r="C36" s="612" t="s">
        <v>622</v>
      </c>
      <c r="D36" s="1186" t="s">
        <v>696</v>
      </c>
      <c r="E36" s="857" t="s">
        <v>697</v>
      </c>
      <c r="F36" s="857" t="s">
        <v>698</v>
      </c>
      <c r="G36" s="1190">
        <v>1</v>
      </c>
      <c r="H36" s="1190" t="s">
        <v>655</v>
      </c>
      <c r="I36" s="1188">
        <v>0</v>
      </c>
      <c r="J36" s="1208">
        <v>1500</v>
      </c>
      <c r="K36" s="1209">
        <v>0</v>
      </c>
      <c r="L36" s="1208">
        <v>0</v>
      </c>
      <c r="M36" s="1208">
        <v>0</v>
      </c>
      <c r="N36" s="1207">
        <v>0</v>
      </c>
      <c r="O36" s="1207">
        <v>0</v>
      </c>
      <c r="P36" s="1207">
        <v>0</v>
      </c>
      <c r="R36" s="580"/>
      <c r="S36" s="580"/>
      <c r="T36" s="580"/>
    </row>
    <row r="37" ht="15.9" customHeight="1" outlineLevel="3" spans="1:20">
      <c r="A37" s="581"/>
      <c r="B37" s="786" t="s">
        <v>699</v>
      </c>
      <c r="C37" s="612" t="s">
        <v>622</v>
      </c>
      <c r="D37" s="1186" t="s">
        <v>700</v>
      </c>
      <c r="E37" s="857" t="s">
        <v>661</v>
      </c>
      <c r="F37" s="857" t="s">
        <v>701</v>
      </c>
      <c r="G37" s="1190">
        <v>1</v>
      </c>
      <c r="H37" s="1190" t="s">
        <v>702</v>
      </c>
      <c r="I37" s="1188">
        <v>47688</v>
      </c>
      <c r="J37" s="1208">
        <v>8</v>
      </c>
      <c r="K37" s="1209">
        <v>0</v>
      </c>
      <c r="L37" s="1208">
        <v>38.1504</v>
      </c>
      <c r="M37" s="1208">
        <v>0</v>
      </c>
      <c r="N37" s="1207">
        <v>38.1504</v>
      </c>
      <c r="O37" s="1207">
        <v>1.87572643689464</v>
      </c>
      <c r="P37" s="1207">
        <v>38.1504</v>
      </c>
      <c r="R37" s="580"/>
      <c r="S37" s="580"/>
      <c r="T37" s="580"/>
    </row>
    <row r="38" ht="15.9" customHeight="1" outlineLevel="3" spans="1:20">
      <c r="A38" s="581"/>
      <c r="B38" s="786" t="s">
        <v>703</v>
      </c>
      <c r="C38" s="612" t="s">
        <v>622</v>
      </c>
      <c r="D38" s="1186" t="s">
        <v>704</v>
      </c>
      <c r="E38" s="857" t="s">
        <v>661</v>
      </c>
      <c r="F38" s="857" t="s">
        <v>244</v>
      </c>
      <c r="G38" s="1190">
        <v>1</v>
      </c>
      <c r="H38" s="1190" t="s">
        <v>681</v>
      </c>
      <c r="I38" s="1188">
        <v>1</v>
      </c>
      <c r="J38" s="1208">
        <v>16000</v>
      </c>
      <c r="K38" s="1209">
        <v>0</v>
      </c>
      <c r="L38" s="1208">
        <v>1.6</v>
      </c>
      <c r="M38" s="1208">
        <v>0</v>
      </c>
      <c r="N38" s="1207">
        <v>1.6</v>
      </c>
      <c r="O38" s="1207">
        <v>0.0786666011111657</v>
      </c>
      <c r="P38" s="1207">
        <v>1.6</v>
      </c>
      <c r="R38" s="580"/>
      <c r="S38" s="580"/>
      <c r="T38" s="580"/>
    </row>
    <row r="39" ht="15.9" customHeight="1" outlineLevel="3" spans="1:20">
      <c r="A39" s="581"/>
      <c r="B39" s="786" t="s">
        <v>705</v>
      </c>
      <c r="C39" s="612" t="s">
        <v>622</v>
      </c>
      <c r="D39" s="1186" t="s">
        <v>706</v>
      </c>
      <c r="E39" s="857" t="s">
        <v>707</v>
      </c>
      <c r="F39" s="857" t="s">
        <v>505</v>
      </c>
      <c r="G39" s="1190">
        <v>1</v>
      </c>
      <c r="H39" s="1190" t="s">
        <v>655</v>
      </c>
      <c r="I39" s="1188">
        <v>273546.150452951</v>
      </c>
      <c r="J39" s="1208">
        <v>1.14</v>
      </c>
      <c r="K39" s="1209">
        <v>0.06</v>
      </c>
      <c r="L39" s="1208">
        <v>31.1842611516364</v>
      </c>
      <c r="M39" s="1208">
        <v>1.87105566909819</v>
      </c>
      <c r="N39" s="1207">
        <v>33.0553168207346</v>
      </c>
      <c r="O39" s="1207">
        <v>1.62521838933746</v>
      </c>
      <c r="P39" s="1207">
        <v>33.0553168207346</v>
      </c>
      <c r="R39" s="580"/>
      <c r="S39" s="580"/>
      <c r="T39" s="580"/>
    </row>
    <row r="40" ht="15.9" customHeight="1" outlineLevel="3" spans="1:20">
      <c r="A40" s="581"/>
      <c r="B40" s="786" t="s">
        <v>708</v>
      </c>
      <c r="C40" s="612" t="s">
        <v>622</v>
      </c>
      <c r="D40" s="1186" t="s">
        <v>709</v>
      </c>
      <c r="E40" s="857" t="s">
        <v>710</v>
      </c>
      <c r="F40" s="857" t="s">
        <v>505</v>
      </c>
      <c r="G40" s="1190">
        <v>1</v>
      </c>
      <c r="H40" s="1190" t="s">
        <v>655</v>
      </c>
      <c r="I40" s="1188">
        <v>273546.150452951</v>
      </c>
      <c r="J40" s="1208">
        <v>0.28</v>
      </c>
      <c r="K40" s="1209">
        <v>0</v>
      </c>
      <c r="L40" s="1208">
        <v>7.65929221268264</v>
      </c>
      <c r="M40" s="1208">
        <v>0</v>
      </c>
      <c r="N40" s="1207">
        <v>7.65929221268264</v>
      </c>
      <c r="O40" s="1207">
        <v>0.376581553305602</v>
      </c>
      <c r="P40" s="1207">
        <v>7.65929221268264</v>
      </c>
      <c r="R40" s="580"/>
      <c r="S40" s="580"/>
      <c r="T40" s="580"/>
    </row>
    <row r="41" ht="15.9" customHeight="1" outlineLevel="3" spans="1:20">
      <c r="A41" s="581"/>
      <c r="B41" s="786" t="s">
        <v>711</v>
      </c>
      <c r="C41" s="612" t="s">
        <v>622</v>
      </c>
      <c r="D41" s="1186" t="s">
        <v>712</v>
      </c>
      <c r="E41" s="857" t="s">
        <v>661</v>
      </c>
      <c r="F41" s="857" t="s">
        <v>505</v>
      </c>
      <c r="G41" s="1190">
        <v>1</v>
      </c>
      <c r="H41" s="1190" t="s">
        <v>655</v>
      </c>
      <c r="I41" s="1188">
        <v>273546.150452951</v>
      </c>
      <c r="J41" s="1208">
        <v>1</v>
      </c>
      <c r="K41" s="1209">
        <v>0</v>
      </c>
      <c r="L41" s="1208">
        <v>27.3546150452951</v>
      </c>
      <c r="M41" s="1208">
        <v>0</v>
      </c>
      <c r="N41" s="1207">
        <v>27.3546150452951</v>
      </c>
      <c r="O41" s="1207">
        <v>1.34493411894858</v>
      </c>
      <c r="P41" s="1207">
        <v>27.3546150452951</v>
      </c>
      <c r="R41" s="580"/>
      <c r="S41" s="580"/>
      <c r="T41" s="580"/>
    </row>
    <row r="42" ht="15.9" customHeight="1" outlineLevel="3" spans="1:20">
      <c r="A42" s="581"/>
      <c r="B42" s="786" t="s">
        <v>713</v>
      </c>
      <c r="C42" s="612" t="s">
        <v>622</v>
      </c>
      <c r="D42" s="1186" t="s">
        <v>714</v>
      </c>
      <c r="E42" s="857" t="s">
        <v>710</v>
      </c>
      <c r="F42" s="857" t="s">
        <v>505</v>
      </c>
      <c r="G42" s="1190">
        <v>1</v>
      </c>
      <c r="H42" s="1190" t="s">
        <v>655</v>
      </c>
      <c r="I42" s="1188">
        <v>273546.150452951</v>
      </c>
      <c r="J42" s="1208">
        <v>0.5</v>
      </c>
      <c r="K42" s="1209">
        <v>0</v>
      </c>
      <c r="L42" s="1208">
        <v>13.6773075226476</v>
      </c>
      <c r="M42" s="1208">
        <v>0</v>
      </c>
      <c r="N42" s="1207">
        <v>13.6773075226476</v>
      </c>
      <c r="O42" s="1207">
        <v>0.672467059474289</v>
      </c>
      <c r="P42" s="1207">
        <v>13.6773075226476</v>
      </c>
      <c r="R42" s="580"/>
      <c r="S42" s="580"/>
      <c r="T42" s="580"/>
    </row>
    <row r="43" ht="15.9" customHeight="1" outlineLevel="3" spans="1:20">
      <c r="A43" s="581"/>
      <c r="B43" s="786" t="s">
        <v>715</v>
      </c>
      <c r="C43" s="612" t="s">
        <v>622</v>
      </c>
      <c r="D43" s="1186" t="s">
        <v>716</v>
      </c>
      <c r="E43" s="857" t="s">
        <v>661</v>
      </c>
      <c r="F43" s="857" t="s">
        <v>505</v>
      </c>
      <c r="G43" s="1190">
        <v>1</v>
      </c>
      <c r="H43" s="1190" t="s">
        <v>625</v>
      </c>
      <c r="I43" s="1188">
        <v>273546.150452951</v>
      </c>
      <c r="J43" s="1208">
        <v>1.4</v>
      </c>
      <c r="K43" s="1209">
        <v>0</v>
      </c>
      <c r="L43" s="1208">
        <v>38.2964610634132</v>
      </c>
      <c r="M43" s="1208">
        <v>0</v>
      </c>
      <c r="N43" s="1207">
        <v>38.2964610634132</v>
      </c>
      <c r="O43" s="1207">
        <v>1.88290776652801</v>
      </c>
      <c r="P43" s="1207">
        <v>38.2964610634132</v>
      </c>
      <c r="R43" s="580"/>
      <c r="S43" s="580"/>
      <c r="T43" s="580"/>
    </row>
    <row r="44" ht="15.9" customHeight="1" outlineLevel="3" spans="1:20">
      <c r="A44" s="581"/>
      <c r="B44" s="786" t="s">
        <v>717</v>
      </c>
      <c r="C44" s="612" t="s">
        <v>622</v>
      </c>
      <c r="D44" s="1186" t="s">
        <v>718</v>
      </c>
      <c r="E44" s="857" t="s">
        <v>707</v>
      </c>
      <c r="F44" s="857" t="s">
        <v>505</v>
      </c>
      <c r="G44" s="1190">
        <v>1</v>
      </c>
      <c r="H44" s="1190" t="s">
        <v>625</v>
      </c>
      <c r="I44" s="1188">
        <v>273546.150452951</v>
      </c>
      <c r="J44" s="1208">
        <v>0.38</v>
      </c>
      <c r="K44" s="1209">
        <v>0.06</v>
      </c>
      <c r="L44" s="1208">
        <v>10.3947537172121</v>
      </c>
      <c r="M44" s="1208">
        <v>0.623685223032729</v>
      </c>
      <c r="N44" s="1207">
        <v>11.0184389402449</v>
      </c>
      <c r="O44" s="1207">
        <v>0.541739463112487</v>
      </c>
      <c r="P44" s="1207">
        <v>11.0184389402449</v>
      </c>
      <c r="R44" s="580"/>
      <c r="S44" s="580"/>
      <c r="T44" s="580"/>
    </row>
    <row r="45" ht="15.9" customHeight="1" outlineLevel="3" spans="1:20">
      <c r="A45" s="581"/>
      <c r="B45" s="786" t="s">
        <v>719</v>
      </c>
      <c r="C45" s="612" t="s">
        <v>622</v>
      </c>
      <c r="D45" s="1186" t="s">
        <v>720</v>
      </c>
      <c r="E45" s="857" t="s">
        <v>707</v>
      </c>
      <c r="F45" s="857" t="s">
        <v>505</v>
      </c>
      <c r="G45" s="1190">
        <v>1</v>
      </c>
      <c r="H45" s="1190" t="s">
        <v>625</v>
      </c>
      <c r="I45" s="1188">
        <v>273546.150452951</v>
      </c>
      <c r="J45" s="1208">
        <v>0.47</v>
      </c>
      <c r="K45" s="1209">
        <v>0.06</v>
      </c>
      <c r="L45" s="1208">
        <v>12.8566690712887</v>
      </c>
      <c r="M45" s="1208">
        <v>0.771400144277323</v>
      </c>
      <c r="N45" s="1207">
        <v>13.628069215566</v>
      </c>
      <c r="O45" s="1207">
        <v>0.670046178060181</v>
      </c>
      <c r="P45" s="1207">
        <v>13.628069215566</v>
      </c>
      <c r="R45" s="580"/>
      <c r="S45" s="580"/>
      <c r="T45" s="580"/>
    </row>
    <row r="46" ht="15.9" customHeight="1" outlineLevel="3" spans="1:20">
      <c r="A46" s="581"/>
      <c r="B46" s="786" t="s">
        <v>721</v>
      </c>
      <c r="C46" s="612" t="s">
        <v>622</v>
      </c>
      <c r="D46" s="1186" t="s">
        <v>722</v>
      </c>
      <c r="E46" s="857" t="s">
        <v>707</v>
      </c>
      <c r="F46" s="857" t="s">
        <v>505</v>
      </c>
      <c r="G46" s="1190">
        <v>1</v>
      </c>
      <c r="H46" s="1190" t="s">
        <v>681</v>
      </c>
      <c r="I46" s="1188">
        <v>273546.150452951</v>
      </c>
      <c r="J46" s="1208">
        <v>0.38</v>
      </c>
      <c r="K46" s="1209">
        <v>0.06</v>
      </c>
      <c r="L46" s="1208">
        <v>10.3947537172121</v>
      </c>
      <c r="M46" s="1208">
        <v>0.623685223032729</v>
      </c>
      <c r="N46" s="1207">
        <v>11.0184389402449</v>
      </c>
      <c r="O46" s="1207">
        <v>0.541739463112487</v>
      </c>
      <c r="P46" s="1207">
        <v>11.0184389402449</v>
      </c>
      <c r="R46" s="580"/>
      <c r="S46" s="580"/>
      <c r="T46" s="580"/>
    </row>
    <row r="47" ht="15.9" customHeight="1" outlineLevel="3" spans="1:20">
      <c r="A47" s="581"/>
      <c r="B47" s="786" t="s">
        <v>723</v>
      </c>
      <c r="C47" s="612" t="s">
        <v>622</v>
      </c>
      <c r="D47" s="1186" t="s">
        <v>724</v>
      </c>
      <c r="E47" s="857" t="s">
        <v>661</v>
      </c>
      <c r="F47" s="857" t="s">
        <v>505</v>
      </c>
      <c r="G47" s="1190">
        <v>1</v>
      </c>
      <c r="H47" s="1190" t="s">
        <v>625</v>
      </c>
      <c r="I47" s="1188">
        <v>273546.150452951</v>
      </c>
      <c r="J47" s="1208"/>
      <c r="K47" s="1209">
        <v>0</v>
      </c>
      <c r="L47" s="1208">
        <v>0</v>
      </c>
      <c r="M47" s="1208">
        <v>0</v>
      </c>
      <c r="N47" s="1207">
        <v>0</v>
      </c>
      <c r="O47" s="1207">
        <v>0</v>
      </c>
      <c r="P47" s="1207">
        <v>0</v>
      </c>
      <c r="R47" s="580"/>
      <c r="S47" s="580"/>
      <c r="T47" s="580"/>
    </row>
    <row r="48" ht="15.9" customHeight="1" outlineLevel="3" spans="1:20">
      <c r="A48" s="581"/>
      <c r="B48" s="786" t="s">
        <v>725</v>
      </c>
      <c r="C48" s="612" t="s">
        <v>622</v>
      </c>
      <c r="D48" s="1186" t="s">
        <v>726</v>
      </c>
      <c r="E48" s="857" t="s">
        <v>661</v>
      </c>
      <c r="F48" s="857" t="s">
        <v>505</v>
      </c>
      <c r="G48" s="1190">
        <v>1</v>
      </c>
      <c r="H48" s="1190" t="s">
        <v>625</v>
      </c>
      <c r="I48" s="1188">
        <v>273546.150452951</v>
      </c>
      <c r="J48" s="1208"/>
      <c r="K48" s="1209">
        <v>0</v>
      </c>
      <c r="L48" s="1208">
        <v>0</v>
      </c>
      <c r="M48" s="1208">
        <v>0</v>
      </c>
      <c r="N48" s="1207">
        <v>0</v>
      </c>
      <c r="O48" s="1207">
        <v>0</v>
      </c>
      <c r="P48" s="1207">
        <v>0</v>
      </c>
      <c r="R48" s="580"/>
      <c r="S48" s="580"/>
      <c r="T48" s="580"/>
    </row>
    <row r="49" ht="15.9" customHeight="1" outlineLevel="3" spans="1:20">
      <c r="A49" s="581"/>
      <c r="B49" s="786" t="s">
        <v>727</v>
      </c>
      <c r="C49" s="612" t="s">
        <v>622</v>
      </c>
      <c r="D49" s="1186" t="s">
        <v>728</v>
      </c>
      <c r="E49" s="857" t="s">
        <v>710</v>
      </c>
      <c r="F49" s="857" t="s">
        <v>505</v>
      </c>
      <c r="G49" s="1190">
        <v>1</v>
      </c>
      <c r="H49" s="1190" t="s">
        <v>625</v>
      </c>
      <c r="I49" s="1188">
        <v>273546.150452951</v>
      </c>
      <c r="J49" s="1208">
        <v>1.2</v>
      </c>
      <c r="K49" s="1209">
        <v>0</v>
      </c>
      <c r="L49" s="1208">
        <v>32.8255380543541</v>
      </c>
      <c r="M49" s="1208">
        <v>0</v>
      </c>
      <c r="N49" s="1207">
        <v>32.8255380543541</v>
      </c>
      <c r="O49" s="1207">
        <v>1.61392094273829</v>
      </c>
      <c r="P49" s="1207">
        <v>32.8255380543541</v>
      </c>
      <c r="R49" s="580"/>
      <c r="S49" s="580"/>
      <c r="T49" s="580"/>
    </row>
    <row r="50" ht="15.9" customHeight="1" outlineLevel="3" spans="1:20">
      <c r="A50" s="581"/>
      <c r="B50" s="786" t="s">
        <v>729</v>
      </c>
      <c r="C50" s="612" t="s">
        <v>622</v>
      </c>
      <c r="D50" s="1186" t="s">
        <v>730</v>
      </c>
      <c r="E50" s="857" t="s">
        <v>710</v>
      </c>
      <c r="F50" s="857" t="s">
        <v>698</v>
      </c>
      <c r="G50" s="1190">
        <v>1</v>
      </c>
      <c r="H50" s="1190" t="s">
        <v>625</v>
      </c>
      <c r="I50" s="1188">
        <v>21883.6788500856</v>
      </c>
      <c r="J50" s="1208">
        <v>6</v>
      </c>
      <c r="K50" s="1209">
        <v>0</v>
      </c>
      <c r="L50" s="1208">
        <v>13.1302073100514</v>
      </c>
      <c r="M50" s="1208">
        <v>0</v>
      </c>
      <c r="N50" s="1207">
        <v>13.1302073100514</v>
      </c>
      <c r="O50" s="1207">
        <v>0.645567988104202</v>
      </c>
      <c r="P50" s="1207">
        <v>13.1302073100514</v>
      </c>
      <c r="R50" s="580"/>
      <c r="S50" s="580"/>
      <c r="T50" s="580"/>
    </row>
    <row r="51" ht="15.9" customHeight="1" outlineLevel="3" spans="1:20">
      <c r="A51" s="581"/>
      <c r="B51" s="786" t="s">
        <v>731</v>
      </c>
      <c r="C51" s="612" t="s">
        <v>622</v>
      </c>
      <c r="D51" s="1186" t="s">
        <v>732</v>
      </c>
      <c r="E51" s="857" t="s">
        <v>661</v>
      </c>
      <c r="F51" s="857" t="s">
        <v>505</v>
      </c>
      <c r="G51" s="1190">
        <v>1</v>
      </c>
      <c r="H51" s="1190" t="s">
        <v>625</v>
      </c>
      <c r="I51" s="1188">
        <v>273546.150452951</v>
      </c>
      <c r="J51" s="1208">
        <v>1.1</v>
      </c>
      <c r="K51" s="1209">
        <v>0</v>
      </c>
      <c r="L51" s="1208">
        <v>30.0900765498246</v>
      </c>
      <c r="M51" s="1208">
        <v>0</v>
      </c>
      <c r="N51" s="1207">
        <v>30.0900765498246</v>
      </c>
      <c r="O51" s="1207">
        <v>1.47942753084344</v>
      </c>
      <c r="P51" s="1207">
        <v>30.0900765498246</v>
      </c>
      <c r="R51" s="580"/>
      <c r="S51" s="580"/>
      <c r="T51" s="580"/>
    </row>
    <row r="52" ht="15.9" customHeight="1" outlineLevel="3" spans="1:20">
      <c r="A52" s="581"/>
      <c r="B52" s="786" t="s">
        <v>733</v>
      </c>
      <c r="C52" s="612" t="s">
        <v>622</v>
      </c>
      <c r="D52" s="1186" t="s">
        <v>734</v>
      </c>
      <c r="E52" s="857" t="s">
        <v>707</v>
      </c>
      <c r="F52" s="857" t="s">
        <v>735</v>
      </c>
      <c r="G52" s="1193">
        <v>0.001</v>
      </c>
      <c r="H52" s="1190" t="s">
        <v>736</v>
      </c>
      <c r="I52" s="1188"/>
      <c r="J52" s="1208"/>
      <c r="K52" s="1209">
        <v>0.06</v>
      </c>
      <c r="L52" s="1208">
        <v>0</v>
      </c>
      <c r="M52" s="1208">
        <v>0</v>
      </c>
      <c r="N52" s="1207">
        <v>0</v>
      </c>
      <c r="O52" s="1207">
        <v>0</v>
      </c>
      <c r="P52" s="1207">
        <v>0</v>
      </c>
      <c r="R52" s="580"/>
      <c r="S52" s="580"/>
      <c r="T52" s="580"/>
    </row>
    <row r="53" ht="15.9" customHeight="1" outlineLevel="3" spans="1:20">
      <c r="A53" s="581"/>
      <c r="B53" s="786" t="s">
        <v>737</v>
      </c>
      <c r="C53" s="612" t="s">
        <v>622</v>
      </c>
      <c r="D53" s="1186" t="s">
        <v>738</v>
      </c>
      <c r="E53" s="857" t="s">
        <v>661</v>
      </c>
      <c r="F53" s="857" t="s">
        <v>601</v>
      </c>
      <c r="G53" s="1190">
        <v>1</v>
      </c>
      <c r="H53" s="1190" t="s">
        <v>601</v>
      </c>
      <c r="I53" s="1188">
        <v>1718</v>
      </c>
      <c r="J53" s="1208">
        <v>80</v>
      </c>
      <c r="K53" s="1209">
        <v>0</v>
      </c>
      <c r="L53" s="1208">
        <v>13.744</v>
      </c>
      <c r="M53" s="1208">
        <v>0</v>
      </c>
      <c r="N53" s="1207">
        <v>13.744</v>
      </c>
      <c r="O53" s="1207">
        <v>0.675746103544914</v>
      </c>
      <c r="P53" s="1207">
        <v>13.744</v>
      </c>
      <c r="R53" s="580"/>
      <c r="S53" s="580"/>
      <c r="T53" s="580"/>
    </row>
    <row r="54" ht="15.9" customHeight="1" outlineLevel="3" spans="1:20">
      <c r="A54" s="581"/>
      <c r="B54" s="786" t="s">
        <v>739</v>
      </c>
      <c r="C54" s="612" t="s">
        <v>622</v>
      </c>
      <c r="D54" s="1186" t="s">
        <v>740</v>
      </c>
      <c r="E54" s="857" t="s">
        <v>661</v>
      </c>
      <c r="F54" s="857" t="s">
        <v>690</v>
      </c>
      <c r="G54" s="1190">
        <v>1</v>
      </c>
      <c r="H54" s="1190">
        <v>4</v>
      </c>
      <c r="I54" s="1188"/>
      <c r="J54" s="1208">
        <v>2500</v>
      </c>
      <c r="K54" s="1209">
        <v>0</v>
      </c>
      <c r="L54" s="1208">
        <v>0</v>
      </c>
      <c r="M54" s="1208">
        <v>0</v>
      </c>
      <c r="N54" s="1207">
        <v>0</v>
      </c>
      <c r="O54" s="1207">
        <v>0</v>
      </c>
      <c r="P54" s="1207">
        <v>0</v>
      </c>
      <c r="R54" s="580"/>
      <c r="S54" s="580"/>
      <c r="T54" s="580"/>
    </row>
    <row r="55" ht="15.9" customHeight="1" outlineLevel="3" spans="1:20">
      <c r="A55" s="581"/>
      <c r="B55" s="786" t="s">
        <v>741</v>
      </c>
      <c r="C55" s="612" t="s">
        <v>622</v>
      </c>
      <c r="D55" s="1186" t="s">
        <v>742</v>
      </c>
      <c r="E55" s="857" t="s">
        <v>661</v>
      </c>
      <c r="F55" s="857" t="s">
        <v>399</v>
      </c>
      <c r="G55" s="1190">
        <v>1</v>
      </c>
      <c r="H55" s="1190" t="s">
        <v>655</v>
      </c>
      <c r="I55" s="1188">
        <v>203390</v>
      </c>
      <c r="J55" s="1208">
        <v>3</v>
      </c>
      <c r="K55" s="1209">
        <v>0</v>
      </c>
      <c r="L55" s="1208">
        <v>61.017</v>
      </c>
      <c r="M55" s="1208">
        <v>0</v>
      </c>
      <c r="N55" s="1207">
        <v>61.017</v>
      </c>
      <c r="O55" s="1207">
        <v>3</v>
      </c>
      <c r="P55" s="1207">
        <v>61.017</v>
      </c>
      <c r="R55" s="580"/>
      <c r="S55" s="580"/>
      <c r="T55" s="580"/>
    </row>
    <row r="56" ht="15.9" customHeight="1" outlineLevel="3" spans="1:20">
      <c r="A56" s="581"/>
      <c r="B56" s="786" t="s">
        <v>743</v>
      </c>
      <c r="C56" s="612" t="s">
        <v>622</v>
      </c>
      <c r="D56" s="1186" t="s">
        <v>744</v>
      </c>
      <c r="E56" s="857" t="s">
        <v>661</v>
      </c>
      <c r="F56" s="857" t="s">
        <v>399</v>
      </c>
      <c r="G56" s="1190">
        <v>1</v>
      </c>
      <c r="H56" s="1190" t="s">
        <v>655</v>
      </c>
      <c r="I56" s="1188">
        <v>203390</v>
      </c>
      <c r="J56" s="1208"/>
      <c r="K56" s="1209">
        <v>0</v>
      </c>
      <c r="L56" s="1208">
        <v>0</v>
      </c>
      <c r="M56" s="1208">
        <v>0</v>
      </c>
      <c r="N56" s="1207">
        <v>0</v>
      </c>
      <c r="O56" s="1207">
        <v>0</v>
      </c>
      <c r="P56" s="1207">
        <v>0</v>
      </c>
      <c r="R56" s="580"/>
      <c r="S56" s="580"/>
      <c r="T56" s="580"/>
    </row>
    <row r="57" ht="15.9" customHeight="1" outlineLevel="3" spans="1:20">
      <c r="A57" s="581"/>
      <c r="B57" s="786" t="s">
        <v>745</v>
      </c>
      <c r="C57" s="612" t="s">
        <v>622</v>
      </c>
      <c r="D57" s="1186" t="s">
        <v>746</v>
      </c>
      <c r="E57" s="857" t="s">
        <v>661</v>
      </c>
      <c r="F57" s="857" t="s">
        <v>505</v>
      </c>
      <c r="G57" s="1190">
        <v>1</v>
      </c>
      <c r="H57" s="1190" t="s">
        <v>625</v>
      </c>
      <c r="I57" s="1188">
        <v>273546.150452951</v>
      </c>
      <c r="J57" s="1208">
        <v>0.9</v>
      </c>
      <c r="K57" s="1209">
        <v>0</v>
      </c>
      <c r="L57" s="1208">
        <v>24.6191535407656</v>
      </c>
      <c r="M57" s="1208">
        <v>0</v>
      </c>
      <c r="N57" s="1207">
        <v>24.6191535407656</v>
      </c>
      <c r="O57" s="1207">
        <v>1.21044070705372</v>
      </c>
      <c r="P57" s="1207">
        <v>24.6191535407656</v>
      </c>
      <c r="R57" s="580"/>
      <c r="S57" s="580"/>
      <c r="T57" s="580"/>
    </row>
    <row r="58" ht="15.9" customHeight="1" outlineLevel="3" spans="1:20">
      <c r="A58" s="581"/>
      <c r="B58" s="786" t="s">
        <v>747</v>
      </c>
      <c r="C58" s="612" t="s">
        <v>622</v>
      </c>
      <c r="D58" s="1186" t="s">
        <v>748</v>
      </c>
      <c r="E58" s="857" t="s">
        <v>661</v>
      </c>
      <c r="F58" s="857" t="s">
        <v>749</v>
      </c>
      <c r="G58" s="1190">
        <v>1</v>
      </c>
      <c r="H58" s="1190" t="s">
        <v>601</v>
      </c>
      <c r="I58" s="1188">
        <v>1718</v>
      </c>
      <c r="J58" s="1208">
        <v>6.77514792899408</v>
      </c>
      <c r="K58" s="1209">
        <v>0</v>
      </c>
      <c r="L58" s="1208">
        <v>1.16397041420118</v>
      </c>
      <c r="M58" s="1208">
        <v>0</v>
      </c>
      <c r="N58" s="1207">
        <v>1.16397041420118</v>
      </c>
      <c r="O58" s="1207">
        <v>0.0572284976744768</v>
      </c>
      <c r="P58" s="1207">
        <v>1.16397041420118</v>
      </c>
      <c r="R58" s="580"/>
      <c r="S58" s="580"/>
      <c r="T58" s="580"/>
    </row>
    <row r="59" ht="15.9" customHeight="1" outlineLevel="3" spans="1:20">
      <c r="A59" s="581"/>
      <c r="B59" s="786" t="s">
        <v>750</v>
      </c>
      <c r="C59" s="612" t="s">
        <v>622</v>
      </c>
      <c r="D59" s="1186" t="s">
        <v>751</v>
      </c>
      <c r="E59" s="857" t="s">
        <v>661</v>
      </c>
      <c r="F59" s="857" t="s">
        <v>505</v>
      </c>
      <c r="G59" s="1190">
        <v>1</v>
      </c>
      <c r="H59" s="1190" t="s">
        <v>625</v>
      </c>
      <c r="I59" s="1188">
        <v>273546.150452951</v>
      </c>
      <c r="J59" s="1208">
        <v>6</v>
      </c>
      <c r="K59" s="1209">
        <v>0</v>
      </c>
      <c r="L59" s="1208">
        <v>164.127690271771</v>
      </c>
      <c r="M59" s="1208">
        <v>0</v>
      </c>
      <c r="N59" s="1207">
        <v>164.127690271771</v>
      </c>
      <c r="O59" s="1207">
        <v>8.06960471369147</v>
      </c>
      <c r="P59" s="1207">
        <v>164.127690271771</v>
      </c>
      <c r="R59" s="580"/>
      <c r="S59" s="580"/>
      <c r="T59" s="580"/>
    </row>
    <row r="60" ht="15.9" customHeight="1" outlineLevel="3" spans="1:20">
      <c r="A60" s="581"/>
      <c r="B60" s="786" t="s">
        <v>752</v>
      </c>
      <c r="C60" s="612" t="s">
        <v>622</v>
      </c>
      <c r="D60" s="1186" t="s">
        <v>753</v>
      </c>
      <c r="E60" s="857" t="s">
        <v>661</v>
      </c>
      <c r="F60" s="857" t="s">
        <v>754</v>
      </c>
      <c r="G60" s="1190">
        <v>1</v>
      </c>
      <c r="H60" s="1190" t="s">
        <v>690</v>
      </c>
      <c r="I60" s="1188">
        <v>5</v>
      </c>
      <c r="J60" s="1208">
        <v>2500</v>
      </c>
      <c r="K60" s="1209">
        <v>0</v>
      </c>
      <c r="L60" s="1208">
        <v>1.25</v>
      </c>
      <c r="M60" s="1208">
        <v>0</v>
      </c>
      <c r="N60" s="1207">
        <v>1.25</v>
      </c>
      <c r="O60" s="1207">
        <v>0.0614582821180982</v>
      </c>
      <c r="P60" s="1207">
        <v>1.25</v>
      </c>
      <c r="R60" s="580"/>
      <c r="S60" s="580"/>
      <c r="T60" s="580"/>
    </row>
    <row r="61" ht="15.9" customHeight="1" outlineLevel="3" spans="1:20">
      <c r="A61" s="581"/>
      <c r="B61" s="786" t="s">
        <v>755</v>
      </c>
      <c r="C61" s="612" t="s">
        <v>622</v>
      </c>
      <c r="D61" s="1186" t="s">
        <v>756</v>
      </c>
      <c r="E61" s="857" t="s">
        <v>661</v>
      </c>
      <c r="F61" s="857" t="s">
        <v>399</v>
      </c>
      <c r="G61" s="1190">
        <v>1</v>
      </c>
      <c r="H61" s="1190" t="s">
        <v>625</v>
      </c>
      <c r="I61" s="1188">
        <v>203390</v>
      </c>
      <c r="J61" s="1208">
        <v>1.07333333333333</v>
      </c>
      <c r="K61" s="1209">
        <v>0</v>
      </c>
      <c r="L61" s="1208">
        <v>21.8305266666667</v>
      </c>
      <c r="M61" s="1208">
        <v>0</v>
      </c>
      <c r="N61" s="1207">
        <v>21.8305266666667</v>
      </c>
      <c r="O61" s="1207">
        <v>1.07333333333333</v>
      </c>
      <c r="P61" s="1207">
        <v>21.8305266666667</v>
      </c>
      <c r="R61" s="580"/>
      <c r="S61" s="580"/>
      <c r="T61" s="580"/>
    </row>
    <row r="62" ht="15.9" customHeight="1" outlineLevel="3" spans="1:20">
      <c r="A62" s="581"/>
      <c r="B62" s="786" t="s">
        <v>757</v>
      </c>
      <c r="C62" s="612" t="s">
        <v>622</v>
      </c>
      <c r="D62" s="1186" t="s">
        <v>758</v>
      </c>
      <c r="E62" s="857" t="s">
        <v>661</v>
      </c>
      <c r="F62" s="857" t="s">
        <v>505</v>
      </c>
      <c r="G62" s="1190">
        <v>1</v>
      </c>
      <c r="H62" s="1190" t="s">
        <v>625</v>
      </c>
      <c r="I62" s="1188">
        <v>273546.150452951</v>
      </c>
      <c r="J62" s="1208">
        <v>0.101782935893083</v>
      </c>
      <c r="K62" s="1209">
        <v>0</v>
      </c>
      <c r="L62" s="1208">
        <v>2.78423302953523</v>
      </c>
      <c r="M62" s="1208">
        <v>0</v>
      </c>
      <c r="N62" s="1207">
        <v>2.78423302953523</v>
      </c>
      <c r="O62" s="1207">
        <v>0.136891343209363</v>
      </c>
      <c r="P62" s="1207">
        <v>2.78423302953523</v>
      </c>
      <c r="R62" s="580"/>
      <c r="S62" s="580"/>
      <c r="T62" s="580"/>
    </row>
    <row r="63" ht="15.9" customHeight="1" outlineLevel="3" spans="1:20">
      <c r="A63" s="581"/>
      <c r="B63" s="786" t="s">
        <v>759</v>
      </c>
      <c r="C63" s="612" t="s">
        <v>622</v>
      </c>
      <c r="D63" s="1186" t="s">
        <v>760</v>
      </c>
      <c r="E63" s="857" t="s">
        <v>661</v>
      </c>
      <c r="F63" s="857" t="s">
        <v>505</v>
      </c>
      <c r="G63" s="1190">
        <v>1</v>
      </c>
      <c r="H63" s="1190" t="s">
        <v>625</v>
      </c>
      <c r="I63" s="1188">
        <v>273546.150452951</v>
      </c>
      <c r="J63" s="1208">
        <v>5</v>
      </c>
      <c r="K63" s="1209">
        <v>0</v>
      </c>
      <c r="L63" s="1208">
        <v>136.773075226476</v>
      </c>
      <c r="M63" s="1208">
        <v>0</v>
      </c>
      <c r="N63" s="1207">
        <v>136.773075226476</v>
      </c>
      <c r="O63" s="1207">
        <v>6.72467059474289</v>
      </c>
      <c r="P63" s="1207">
        <v>136.773075226476</v>
      </c>
      <c r="R63" s="580"/>
      <c r="S63" s="580"/>
      <c r="T63" s="580"/>
    </row>
    <row r="64" ht="15.9" customHeight="1" outlineLevel="2" spans="1:20">
      <c r="A64" s="581"/>
      <c r="B64" s="786" t="s">
        <v>761</v>
      </c>
      <c r="C64" s="787" t="s">
        <v>762</v>
      </c>
      <c r="D64" s="1186" t="s">
        <v>763</v>
      </c>
      <c r="E64" s="857"/>
      <c r="F64" s="857"/>
      <c r="G64" s="1194"/>
      <c r="H64" s="1195"/>
      <c r="I64" s="1215"/>
      <c r="J64" s="1216"/>
      <c r="K64" s="1217"/>
      <c r="L64" s="1216">
        <v>0</v>
      </c>
      <c r="M64" s="1216">
        <v>0</v>
      </c>
      <c r="N64" s="1207">
        <v>0</v>
      </c>
      <c r="O64" s="1207">
        <v>0</v>
      </c>
      <c r="P64" s="1207">
        <v>0</v>
      </c>
      <c r="R64" s="580"/>
      <c r="S64" s="580"/>
      <c r="T64" s="580"/>
    </row>
    <row r="65" ht="15.9" customHeight="1" outlineLevel="3" spans="1:20">
      <c r="A65" s="581"/>
      <c r="B65" s="786" t="s">
        <v>764</v>
      </c>
      <c r="C65" s="612" t="s">
        <v>622</v>
      </c>
      <c r="D65" s="1220" t="s">
        <v>765</v>
      </c>
      <c r="E65" s="857" t="s">
        <v>765</v>
      </c>
      <c r="F65" s="857"/>
      <c r="G65" s="1194"/>
      <c r="H65" s="1195"/>
      <c r="I65" s="1215"/>
      <c r="J65" s="1216"/>
      <c r="K65" s="1217">
        <v>0</v>
      </c>
      <c r="L65" s="1208">
        <v>0</v>
      </c>
      <c r="M65" s="1208">
        <v>0</v>
      </c>
      <c r="N65" s="1207">
        <v>0</v>
      </c>
      <c r="O65" s="1207">
        <v>0</v>
      </c>
      <c r="P65" s="1207">
        <v>0</v>
      </c>
      <c r="R65" s="580"/>
      <c r="S65" s="580"/>
      <c r="T65" s="580"/>
    </row>
    <row r="66" ht="15.9" customHeight="1" outlineLevel="3" spans="1:20">
      <c r="A66" s="581"/>
      <c r="B66" s="786" t="s">
        <v>766</v>
      </c>
      <c r="C66" s="612" t="s">
        <v>622</v>
      </c>
      <c r="D66" s="1220" t="s">
        <v>767</v>
      </c>
      <c r="E66" s="857" t="s">
        <v>767</v>
      </c>
      <c r="F66" s="551"/>
      <c r="G66" s="1194"/>
      <c r="H66" s="1195"/>
      <c r="I66" s="1215"/>
      <c r="J66" s="1216"/>
      <c r="K66" s="1217">
        <v>0</v>
      </c>
      <c r="L66" s="1208">
        <v>0</v>
      </c>
      <c r="M66" s="1208">
        <v>0</v>
      </c>
      <c r="N66" s="1207">
        <v>0</v>
      </c>
      <c r="O66" s="1207">
        <v>0</v>
      </c>
      <c r="P66" s="1207">
        <v>0</v>
      </c>
      <c r="R66" s="580"/>
      <c r="S66" s="580"/>
      <c r="T66" s="580"/>
    </row>
    <row r="67" ht="15.9" customHeight="1" outlineLevel="3" spans="1:20">
      <c r="A67" s="581"/>
      <c r="B67" s="786" t="s">
        <v>768</v>
      </c>
      <c r="C67" s="612" t="s">
        <v>622</v>
      </c>
      <c r="D67" s="1220" t="s">
        <v>769</v>
      </c>
      <c r="E67" s="1221" t="s">
        <v>769</v>
      </c>
      <c r="F67" s="551"/>
      <c r="G67" s="1194"/>
      <c r="H67" s="1195"/>
      <c r="I67" s="1215"/>
      <c r="J67" s="1216"/>
      <c r="K67" s="1217">
        <v>0</v>
      </c>
      <c r="L67" s="1208">
        <v>0</v>
      </c>
      <c r="M67" s="1208">
        <v>0</v>
      </c>
      <c r="N67" s="1207">
        <v>0</v>
      </c>
      <c r="O67" s="1207">
        <v>0</v>
      </c>
      <c r="P67" s="1207">
        <v>0</v>
      </c>
      <c r="R67" s="580"/>
      <c r="S67" s="580"/>
      <c r="T67" s="580"/>
    </row>
    <row r="68" s="1163" customFormat="1" ht="23.85" customHeight="1" spans="1:16">
      <c r="A68" s="1179"/>
      <c r="B68" s="1180">
        <v>5001.02</v>
      </c>
      <c r="C68" s="593" t="s">
        <v>522</v>
      </c>
      <c r="D68" s="468" t="s">
        <v>480</v>
      </c>
      <c r="E68" s="469"/>
      <c r="F68" s="1181"/>
      <c r="G68" s="1182"/>
      <c r="H68" s="920"/>
      <c r="I68" s="973"/>
      <c r="J68" s="1235"/>
      <c r="K68" s="1203"/>
      <c r="L68" s="1204">
        <v>14889.5225744457</v>
      </c>
      <c r="M68" s="1204">
        <v>1688.60013575461</v>
      </c>
      <c r="N68" s="1204">
        <v>16578.1227102003</v>
      </c>
      <c r="O68" s="1204">
        <v>815.090354009555</v>
      </c>
      <c r="P68" s="975">
        <v>16578.1227102003</v>
      </c>
    </row>
    <row r="69" ht="15.9" customHeight="1" outlineLevel="1" spans="1:20">
      <c r="A69" s="581"/>
      <c r="B69" s="1222" t="s">
        <v>523</v>
      </c>
      <c r="C69" s="185">
        <v>1</v>
      </c>
      <c r="D69" s="609" t="s">
        <v>524</v>
      </c>
      <c r="E69" s="645"/>
      <c r="F69" s="185"/>
      <c r="G69" s="185"/>
      <c r="H69" s="185"/>
      <c r="I69" s="185"/>
      <c r="J69" s="1236"/>
      <c r="K69" s="493"/>
      <c r="L69" s="545">
        <v>708.701481930906</v>
      </c>
      <c r="M69" s="545">
        <v>82.8485180690937</v>
      </c>
      <c r="N69" s="545">
        <v>791.55</v>
      </c>
      <c r="O69" s="645">
        <v>38.9178425684645</v>
      </c>
      <c r="P69" s="645">
        <v>791.55</v>
      </c>
      <c r="R69" s="580"/>
      <c r="S69" s="580"/>
      <c r="T69" s="580"/>
    </row>
    <row r="70" s="168" customFormat="1" ht="15.9" customHeight="1" outlineLevel="2" spans="1:16">
      <c r="A70" s="456"/>
      <c r="B70" s="786" t="s">
        <v>770</v>
      </c>
      <c r="C70" s="375" t="s">
        <v>619</v>
      </c>
      <c r="D70" s="610" t="s">
        <v>771</v>
      </c>
      <c r="E70" s="375"/>
      <c r="F70" s="375" t="s">
        <v>505</v>
      </c>
      <c r="G70" s="375"/>
      <c r="H70" s="765"/>
      <c r="I70" s="375"/>
      <c r="J70" s="809"/>
      <c r="K70" s="497"/>
      <c r="L70" s="809"/>
      <c r="M70" s="809"/>
      <c r="N70" s="144">
        <v>0</v>
      </c>
      <c r="O70" s="144">
        <v>0</v>
      </c>
      <c r="P70" s="144">
        <v>0</v>
      </c>
    </row>
    <row r="71" s="168" customFormat="1" ht="15.9" customHeight="1" outlineLevel="2" spans="1:16">
      <c r="A71" s="456"/>
      <c r="B71" s="786" t="s">
        <v>772</v>
      </c>
      <c r="C71" s="375" t="s">
        <v>657</v>
      </c>
      <c r="D71" s="610" t="s">
        <v>773</v>
      </c>
      <c r="E71" s="375" t="s">
        <v>774</v>
      </c>
      <c r="F71" s="375" t="s">
        <v>505</v>
      </c>
      <c r="G71" s="375">
        <v>1</v>
      </c>
      <c r="H71" s="375" t="s">
        <v>655</v>
      </c>
      <c r="I71" s="375">
        <v>600</v>
      </c>
      <c r="J71" s="1237">
        <v>2148.80115802435</v>
      </c>
      <c r="K71" s="656">
        <v>0.116901855268268</v>
      </c>
      <c r="L71" s="809">
        <v>128.928069481461</v>
      </c>
      <c r="M71" s="809">
        <v>15.0719305185389</v>
      </c>
      <c r="N71" s="144">
        <v>144</v>
      </c>
      <c r="O71" s="144">
        <v>7.07999410000492</v>
      </c>
      <c r="P71" s="144">
        <v>144</v>
      </c>
    </row>
    <row r="72" s="168" customFormat="1" ht="15.9" customHeight="1" outlineLevel="2" spans="1:16">
      <c r="A72" s="456"/>
      <c r="B72" s="786" t="s">
        <v>775</v>
      </c>
      <c r="C72" s="375" t="s">
        <v>762</v>
      </c>
      <c r="D72" s="610" t="s">
        <v>776</v>
      </c>
      <c r="E72" s="375" t="s">
        <v>774</v>
      </c>
      <c r="F72" s="375" t="s">
        <v>505</v>
      </c>
      <c r="G72" s="375">
        <v>1</v>
      </c>
      <c r="H72" s="765" t="s">
        <v>655</v>
      </c>
      <c r="I72" s="649">
        <v>1170</v>
      </c>
      <c r="J72" s="1237">
        <v>2641.23475673827</v>
      </c>
      <c r="K72" s="656">
        <v>0.116901855268268</v>
      </c>
      <c r="L72" s="809">
        <v>309.024466538377</v>
      </c>
      <c r="M72" s="809">
        <v>36.125533461623</v>
      </c>
      <c r="N72" s="144">
        <v>345.15</v>
      </c>
      <c r="O72" s="144">
        <v>16.9698608584493</v>
      </c>
      <c r="P72" s="144">
        <v>345.15</v>
      </c>
    </row>
    <row r="73" s="168" customFormat="1" ht="15.9" customHeight="1" outlineLevel="2" spans="1:16">
      <c r="A73" s="456"/>
      <c r="B73" s="786" t="s">
        <v>777</v>
      </c>
      <c r="C73" s="375" t="s">
        <v>778</v>
      </c>
      <c r="D73" s="610" t="s">
        <v>779</v>
      </c>
      <c r="E73" s="375"/>
      <c r="F73" s="375" t="s">
        <v>505</v>
      </c>
      <c r="G73" s="375"/>
      <c r="H73" s="765"/>
      <c r="I73" s="375"/>
      <c r="J73" s="809"/>
      <c r="K73" s="497"/>
      <c r="L73" s="809">
        <v>0</v>
      </c>
      <c r="M73" s="809">
        <v>0</v>
      </c>
      <c r="N73" s="144">
        <v>0</v>
      </c>
      <c r="O73" s="144">
        <v>0</v>
      </c>
      <c r="P73" s="144">
        <v>0</v>
      </c>
    </row>
    <row r="74" s="168" customFormat="1" ht="15.9" customHeight="1" outlineLevel="2" spans="1:16">
      <c r="A74" s="456"/>
      <c r="B74" s="786" t="s">
        <v>780</v>
      </c>
      <c r="C74" s="375" t="s">
        <v>781</v>
      </c>
      <c r="D74" s="610" t="s">
        <v>782</v>
      </c>
      <c r="E74" s="375"/>
      <c r="F74" s="375"/>
      <c r="G74" s="375"/>
      <c r="H74" s="375"/>
      <c r="I74" s="375"/>
      <c r="J74" s="809"/>
      <c r="K74" s="497"/>
      <c r="L74" s="809">
        <v>0</v>
      </c>
      <c r="M74" s="809">
        <v>0</v>
      </c>
      <c r="N74" s="144">
        <v>0</v>
      </c>
      <c r="O74" s="144">
        <v>0</v>
      </c>
      <c r="P74" s="144">
        <v>0</v>
      </c>
    </row>
    <row r="75" s="168" customFormat="1" ht="15.9" customHeight="1" outlineLevel="3" spans="1:16">
      <c r="A75" s="456"/>
      <c r="B75" s="786" t="s">
        <v>783</v>
      </c>
      <c r="C75" s="612" t="s">
        <v>622</v>
      </c>
      <c r="D75" s="1223" t="s">
        <v>784</v>
      </c>
      <c r="E75" s="375" t="s">
        <v>774</v>
      </c>
      <c r="F75" s="375" t="s">
        <v>505</v>
      </c>
      <c r="G75" s="375">
        <v>1</v>
      </c>
      <c r="H75" s="375" t="s">
        <v>655</v>
      </c>
      <c r="I75" s="375">
        <v>0</v>
      </c>
      <c r="J75" s="1237">
        <v>3581.33526337392</v>
      </c>
      <c r="K75" s="656">
        <v>0.116901855268268</v>
      </c>
      <c r="L75" s="809">
        <v>0</v>
      </c>
      <c r="M75" s="809">
        <v>0</v>
      </c>
      <c r="N75" s="144">
        <v>0</v>
      </c>
      <c r="O75" s="144">
        <v>0</v>
      </c>
      <c r="P75" s="144">
        <v>0</v>
      </c>
    </row>
    <row r="76" s="168" customFormat="1" ht="15.9" customHeight="1" outlineLevel="3" spans="1:16">
      <c r="A76" s="581"/>
      <c r="B76" s="786" t="s">
        <v>785</v>
      </c>
      <c r="C76" s="612" t="s">
        <v>622</v>
      </c>
      <c r="D76" s="1223" t="s">
        <v>786</v>
      </c>
      <c r="E76" s="375"/>
      <c r="F76" s="375" t="s">
        <v>505</v>
      </c>
      <c r="G76" s="375"/>
      <c r="H76" s="375"/>
      <c r="I76" s="375"/>
      <c r="J76" s="809"/>
      <c r="K76" s="497"/>
      <c r="L76" s="809">
        <v>0</v>
      </c>
      <c r="M76" s="809">
        <v>0</v>
      </c>
      <c r="N76" s="144">
        <v>0</v>
      </c>
      <c r="O76" s="144">
        <v>0</v>
      </c>
      <c r="P76" s="144">
        <v>0</v>
      </c>
    </row>
    <row r="77" s="168" customFormat="1" ht="15.9" customHeight="1" outlineLevel="2" spans="1:16">
      <c r="A77" s="581"/>
      <c r="B77" s="786" t="s">
        <v>787</v>
      </c>
      <c r="C77" s="375" t="s">
        <v>788</v>
      </c>
      <c r="D77" s="610" t="s">
        <v>789</v>
      </c>
      <c r="E77" s="375"/>
      <c r="F77" s="375" t="s">
        <v>505</v>
      </c>
      <c r="G77" s="375"/>
      <c r="H77" s="375"/>
      <c r="I77" s="375"/>
      <c r="J77" s="809"/>
      <c r="K77" s="497"/>
      <c r="L77" s="809">
        <v>0</v>
      </c>
      <c r="M77" s="809">
        <v>0</v>
      </c>
      <c r="N77" s="144">
        <v>0</v>
      </c>
      <c r="O77" s="144">
        <v>0</v>
      </c>
      <c r="P77" s="144">
        <v>0</v>
      </c>
    </row>
    <row r="78" s="168" customFormat="1" ht="15.9" customHeight="1" outlineLevel="2" spans="1:16">
      <c r="A78" s="581"/>
      <c r="B78" s="786" t="s">
        <v>790</v>
      </c>
      <c r="C78" s="375" t="s">
        <v>791</v>
      </c>
      <c r="D78" s="610" t="s">
        <v>792</v>
      </c>
      <c r="E78" s="375"/>
      <c r="F78" s="375" t="s">
        <v>505</v>
      </c>
      <c r="G78" s="375"/>
      <c r="H78" s="375"/>
      <c r="I78" s="375"/>
      <c r="J78" s="809"/>
      <c r="K78" s="497"/>
      <c r="L78" s="809">
        <v>0</v>
      </c>
      <c r="M78" s="809">
        <v>0</v>
      </c>
      <c r="N78" s="144">
        <v>0</v>
      </c>
      <c r="O78" s="144">
        <v>0</v>
      </c>
      <c r="P78" s="144">
        <v>0</v>
      </c>
    </row>
    <row r="79" s="168" customFormat="1" ht="15.9" customHeight="1" outlineLevel="2" spans="1:16">
      <c r="A79" s="456"/>
      <c r="B79" s="786" t="s">
        <v>793</v>
      </c>
      <c r="C79" s="375" t="s">
        <v>794</v>
      </c>
      <c r="D79" s="614" t="s">
        <v>795</v>
      </c>
      <c r="E79" s="375" t="s">
        <v>774</v>
      </c>
      <c r="F79" s="375" t="s">
        <v>505</v>
      </c>
      <c r="G79" s="375">
        <v>1</v>
      </c>
      <c r="H79" s="765" t="s">
        <v>655</v>
      </c>
      <c r="I79" s="375">
        <v>1260</v>
      </c>
      <c r="J79" s="1237">
        <v>2148.80115802435</v>
      </c>
      <c r="K79" s="656">
        <v>0.116901855268268</v>
      </c>
      <c r="L79" s="809">
        <v>270.748945911068</v>
      </c>
      <c r="M79" s="809">
        <v>31.6510540889318</v>
      </c>
      <c r="N79" s="144">
        <v>302.4</v>
      </c>
      <c r="O79" s="144">
        <v>14.8679876100103</v>
      </c>
      <c r="P79" s="144">
        <v>302.4</v>
      </c>
    </row>
    <row r="80" s="168" customFormat="1" ht="15.9" customHeight="1" outlineLevel="2" spans="1:16">
      <c r="A80" s="456"/>
      <c r="B80" s="786" t="s">
        <v>796</v>
      </c>
      <c r="C80" s="375" t="s">
        <v>797</v>
      </c>
      <c r="D80" s="614" t="s">
        <v>798</v>
      </c>
      <c r="E80" s="375" t="s">
        <v>774</v>
      </c>
      <c r="F80" s="375" t="s">
        <v>505</v>
      </c>
      <c r="G80" s="375">
        <v>1</v>
      </c>
      <c r="H80" s="375" t="s">
        <v>655</v>
      </c>
      <c r="I80" s="375"/>
      <c r="J80" s="809"/>
      <c r="K80" s="656">
        <v>0.116901855268268</v>
      </c>
      <c r="L80" s="809">
        <v>0</v>
      </c>
      <c r="M80" s="809">
        <v>0</v>
      </c>
      <c r="N80" s="144">
        <v>0</v>
      </c>
      <c r="O80" s="144">
        <v>0</v>
      </c>
      <c r="P80" s="144">
        <v>0</v>
      </c>
    </row>
    <row r="81" s="168" customFormat="1" ht="22.5" customHeight="1" outlineLevel="1" spans="1:16">
      <c r="A81" s="456"/>
      <c r="B81" s="1222" t="s">
        <v>526</v>
      </c>
      <c r="C81" s="185">
        <v>2</v>
      </c>
      <c r="D81" s="609" t="s">
        <v>799</v>
      </c>
      <c r="E81" s="645"/>
      <c r="F81" s="185"/>
      <c r="G81" s="185"/>
      <c r="H81" s="185"/>
      <c r="I81" s="185"/>
      <c r="J81" s="1236"/>
      <c r="K81" s="493"/>
      <c r="L81" s="1236">
        <v>10615.0367124488</v>
      </c>
      <c r="M81" s="1236">
        <v>1213.51533587826</v>
      </c>
      <c r="N81" s="545">
        <v>11828.5520483271</v>
      </c>
      <c r="O81" s="185">
        <v>581.569991067755</v>
      </c>
      <c r="P81" s="185">
        <v>11828.5520483271</v>
      </c>
    </row>
    <row r="82" s="168" customFormat="1" ht="15.9" customHeight="1" outlineLevel="2" spans="1:16">
      <c r="A82" s="456"/>
      <c r="B82" s="786" t="s">
        <v>800</v>
      </c>
      <c r="C82" s="375" t="s">
        <v>619</v>
      </c>
      <c r="D82" s="610" t="s">
        <v>801</v>
      </c>
      <c r="E82" s="1224"/>
      <c r="F82" s="601"/>
      <c r="G82" s="600"/>
      <c r="H82" s="600"/>
      <c r="I82" s="600"/>
      <c r="J82" s="1238"/>
      <c r="K82" s="1239"/>
      <c r="L82" s="1238">
        <v>5891.57624994225</v>
      </c>
      <c r="M82" s="1238">
        <v>673.527405083434</v>
      </c>
      <c r="N82" s="774">
        <v>6565.10365502568</v>
      </c>
      <c r="O82" s="144">
        <v>322.783994052101</v>
      </c>
      <c r="P82" s="144">
        <v>6565.10365502568</v>
      </c>
    </row>
    <row r="83" s="168" customFormat="1" ht="15.9" customHeight="1" outlineLevel="3" spans="1:16">
      <c r="A83" s="456"/>
      <c r="B83" s="786" t="s">
        <v>802</v>
      </c>
      <c r="C83" s="612" t="s">
        <v>622</v>
      </c>
      <c r="D83" s="616" t="s">
        <v>803</v>
      </c>
      <c r="E83" s="375" t="s">
        <v>774</v>
      </c>
      <c r="F83" s="603"/>
      <c r="G83" s="375">
        <v>1</v>
      </c>
      <c r="H83" s="765" t="s">
        <v>655</v>
      </c>
      <c r="I83" s="375">
        <v>21883.6788500856</v>
      </c>
      <c r="J83" s="1237">
        <v>2692.22386706667</v>
      </c>
      <c r="K83" s="656">
        <v>0.114320408751399</v>
      </c>
      <c r="L83" s="809">
        <v>5891.57624994225</v>
      </c>
      <c r="M83" s="809">
        <v>673.527405083434</v>
      </c>
      <c r="N83" s="1240">
        <v>6565.10365502568</v>
      </c>
      <c r="O83" s="547">
        <v>322.783994052101</v>
      </c>
      <c r="P83" s="547">
        <v>6565.10365502568</v>
      </c>
    </row>
    <row r="84" s="456" customFormat="1" ht="15.9" customHeight="1" outlineLevel="3" spans="2:16">
      <c r="B84" s="786" t="s">
        <v>804</v>
      </c>
      <c r="C84" s="612" t="s">
        <v>622</v>
      </c>
      <c r="D84" s="616" t="s">
        <v>805</v>
      </c>
      <c r="E84" s="375" t="s">
        <v>774</v>
      </c>
      <c r="F84" s="603"/>
      <c r="G84" s="375">
        <v>1</v>
      </c>
      <c r="H84" s="375" t="s">
        <v>655</v>
      </c>
      <c r="I84" s="375"/>
      <c r="J84" s="1237">
        <v>93.3304273916444</v>
      </c>
      <c r="K84" s="656">
        <v>0.114320408751399</v>
      </c>
      <c r="L84" s="809">
        <v>0</v>
      </c>
      <c r="M84" s="809">
        <v>0</v>
      </c>
      <c r="N84" s="1240">
        <v>0</v>
      </c>
      <c r="O84" s="144">
        <v>0</v>
      </c>
      <c r="P84" s="144">
        <v>0</v>
      </c>
    </row>
    <row r="85" s="168" customFormat="1" ht="15.9" customHeight="1" outlineLevel="2" spans="1:16">
      <c r="A85" s="456"/>
      <c r="B85" s="786" t="s">
        <v>806</v>
      </c>
      <c r="C85" s="375" t="s">
        <v>657</v>
      </c>
      <c r="D85" s="610" t="s">
        <v>807</v>
      </c>
      <c r="E85" s="1224"/>
      <c r="F85" s="601"/>
      <c r="G85" s="375"/>
      <c r="H85" s="375"/>
      <c r="I85" s="375"/>
      <c r="J85" s="809"/>
      <c r="K85" s="656">
        <v>0.114320408751399</v>
      </c>
      <c r="L85" s="809">
        <v>0</v>
      </c>
      <c r="M85" s="809">
        <v>0</v>
      </c>
      <c r="N85" s="144">
        <v>0</v>
      </c>
      <c r="O85" s="144">
        <v>0</v>
      </c>
      <c r="P85" s="144">
        <v>0</v>
      </c>
    </row>
    <row r="86" s="168" customFormat="1" ht="20.25" customHeight="1" outlineLevel="3" spans="1:16">
      <c r="A86" s="456"/>
      <c r="B86" s="786" t="s">
        <v>808</v>
      </c>
      <c r="C86" s="612" t="s">
        <v>622</v>
      </c>
      <c r="D86" s="616" t="s">
        <v>809</v>
      </c>
      <c r="E86" s="375"/>
      <c r="F86" s="603"/>
      <c r="G86" s="375"/>
      <c r="H86" s="765"/>
      <c r="I86" s="375"/>
      <c r="J86" s="809"/>
      <c r="K86" s="656">
        <v>0.114320408751399</v>
      </c>
      <c r="L86" s="809">
        <v>0</v>
      </c>
      <c r="M86" s="809">
        <v>0</v>
      </c>
      <c r="N86" s="144">
        <v>0</v>
      </c>
      <c r="O86" s="144">
        <v>0</v>
      </c>
      <c r="P86" s="144">
        <v>0</v>
      </c>
    </row>
    <row r="87" s="168" customFormat="1" customHeight="1" outlineLevel="3" spans="1:16">
      <c r="A87" s="456"/>
      <c r="B87" s="786" t="s">
        <v>810</v>
      </c>
      <c r="C87" s="612" t="s">
        <v>622</v>
      </c>
      <c r="D87" s="616" t="s">
        <v>811</v>
      </c>
      <c r="E87" s="375" t="s">
        <v>812</v>
      </c>
      <c r="F87" s="603"/>
      <c r="G87" s="612"/>
      <c r="H87" s="612"/>
      <c r="I87" s="612"/>
      <c r="J87" s="1241"/>
      <c r="K87" s="656">
        <v>0.114320408751399</v>
      </c>
      <c r="L87" s="809">
        <v>0</v>
      </c>
      <c r="M87" s="809">
        <v>0</v>
      </c>
      <c r="N87" s="547">
        <v>0</v>
      </c>
      <c r="O87" s="144">
        <v>0</v>
      </c>
      <c r="P87" s="144">
        <v>0</v>
      </c>
    </row>
    <row r="88" s="168" customFormat="1" ht="15.9" customHeight="1" outlineLevel="2" spans="1:16">
      <c r="A88" s="456"/>
      <c r="B88" s="786" t="s">
        <v>813</v>
      </c>
      <c r="C88" s="375" t="s">
        <v>762</v>
      </c>
      <c r="D88" s="703" t="s">
        <v>814</v>
      </c>
      <c r="E88" s="1224"/>
      <c r="F88" s="601"/>
      <c r="G88" s="600"/>
      <c r="H88" s="600"/>
      <c r="I88" s="600"/>
      <c r="J88" s="1238"/>
      <c r="K88" s="656">
        <v>0.114320408751399</v>
      </c>
      <c r="L88" s="1238">
        <v>4723.46046250656</v>
      </c>
      <c r="M88" s="1238">
        <v>539.987930794823</v>
      </c>
      <c r="N88" s="144">
        <v>5263.44839330138</v>
      </c>
      <c r="O88" s="144">
        <v>258.785997015654</v>
      </c>
      <c r="P88" s="144">
        <v>5263.44839330138</v>
      </c>
    </row>
    <row r="89" s="168" customFormat="1" ht="25.5" customHeight="1" outlineLevel="3" spans="1:16">
      <c r="A89" s="456"/>
      <c r="B89" s="786" t="s">
        <v>815</v>
      </c>
      <c r="C89" s="612" t="s">
        <v>622</v>
      </c>
      <c r="D89" s="616" t="s">
        <v>816</v>
      </c>
      <c r="E89" s="375" t="s">
        <v>774</v>
      </c>
      <c r="F89" s="601"/>
      <c r="G89" s="649">
        <v>0.344504422643868</v>
      </c>
      <c r="H89" s="375"/>
      <c r="I89" s="144">
        <v>34604.4716028656</v>
      </c>
      <c r="J89" s="809">
        <v>2251.47617358706</v>
      </c>
      <c r="K89" s="1242">
        <v>0.114320408751399</v>
      </c>
      <c r="L89" s="809">
        <v>2684.0733444714</v>
      </c>
      <c r="M89" s="809">
        <v>306.844361858706</v>
      </c>
      <c r="N89" s="144">
        <v>2990.91770633011</v>
      </c>
      <c r="O89" s="144">
        <v>147.053331350121</v>
      </c>
      <c r="P89" s="144">
        <v>2990.91770633011</v>
      </c>
    </row>
    <row r="90" s="168" customFormat="1" ht="19.5" customHeight="1" outlineLevel="3" spans="1:16">
      <c r="A90" s="456"/>
      <c r="B90" s="786" t="s">
        <v>817</v>
      </c>
      <c r="C90" s="612" t="s">
        <v>622</v>
      </c>
      <c r="D90" s="616" t="s">
        <v>818</v>
      </c>
      <c r="E90" s="375" t="s">
        <v>774</v>
      </c>
      <c r="F90" s="375" t="s">
        <v>505</v>
      </c>
      <c r="G90" s="600">
        <v>1</v>
      </c>
      <c r="H90" s="600" t="s">
        <v>655</v>
      </c>
      <c r="I90" s="1243">
        <v>9058</v>
      </c>
      <c r="J90" s="1237">
        <v>2251.47617358706</v>
      </c>
      <c r="K90" s="656">
        <v>0.114320408751399</v>
      </c>
      <c r="L90" s="809">
        <v>2039.38711803516</v>
      </c>
      <c r="M90" s="809">
        <v>233.143568936117</v>
      </c>
      <c r="N90" s="547">
        <v>2272.53068697127</v>
      </c>
      <c r="O90" s="144">
        <v>111.732665665533</v>
      </c>
      <c r="P90" s="144">
        <v>2272.53068697127</v>
      </c>
    </row>
    <row r="91" s="168" customFormat="1" ht="15.9" customHeight="1" outlineLevel="2" spans="1:16">
      <c r="A91" s="456"/>
      <c r="B91" s="786" t="s">
        <v>819</v>
      </c>
      <c r="C91" s="375" t="s">
        <v>778</v>
      </c>
      <c r="D91" s="703" t="s">
        <v>820</v>
      </c>
      <c r="E91" s="1224"/>
      <c r="F91" s="601"/>
      <c r="G91" s="600"/>
      <c r="H91" s="600" t="s">
        <v>821</v>
      </c>
      <c r="I91" s="600">
        <v>171</v>
      </c>
      <c r="J91" s="1237">
        <v>12115.0074018</v>
      </c>
      <c r="K91" s="656">
        <v>0.114320408751399</v>
      </c>
      <c r="L91" s="809">
        <v>0</v>
      </c>
      <c r="M91" s="809">
        <v>0</v>
      </c>
      <c r="N91" s="547">
        <v>0</v>
      </c>
      <c r="O91" s="144">
        <v>0</v>
      </c>
      <c r="P91" s="144">
        <v>0</v>
      </c>
    </row>
    <row r="92" ht="25.65" customHeight="1" outlineLevel="1" spans="1:20">
      <c r="A92" s="581"/>
      <c r="B92" s="1222" t="s">
        <v>529</v>
      </c>
      <c r="C92" s="185">
        <v>3</v>
      </c>
      <c r="D92" s="597" t="s">
        <v>530</v>
      </c>
      <c r="E92" s="718"/>
      <c r="F92" s="185"/>
      <c r="G92" s="185"/>
      <c r="H92" s="185"/>
      <c r="I92" s="185"/>
      <c r="J92" s="1236"/>
      <c r="K92" s="493"/>
      <c r="L92" s="1236">
        <v>3565.78438006602</v>
      </c>
      <c r="M92" s="1236">
        <v>392.236281807262</v>
      </c>
      <c r="N92" s="545">
        <v>3958.02066187328</v>
      </c>
      <c r="O92" s="645">
        <v>194.602520373336</v>
      </c>
      <c r="P92" s="645">
        <v>3958.02066187328</v>
      </c>
      <c r="R92" s="580"/>
      <c r="S92" s="580"/>
      <c r="T92" s="580"/>
    </row>
    <row r="93" s="168" customFormat="1" customHeight="1" outlineLevel="2" spans="1:16">
      <c r="A93" s="456"/>
      <c r="B93" s="786" t="s">
        <v>822</v>
      </c>
      <c r="C93" s="375" t="s">
        <v>619</v>
      </c>
      <c r="D93" s="705" t="s">
        <v>823</v>
      </c>
      <c r="E93" s="1225"/>
      <c r="F93" s="706"/>
      <c r="G93" s="1226"/>
      <c r="H93" s="1226"/>
      <c r="I93" s="1226"/>
      <c r="J93" s="1244"/>
      <c r="K93" s="1209"/>
      <c r="L93" s="1244">
        <v>977.960061</v>
      </c>
      <c r="M93" s="1244">
        <v>107.57560671</v>
      </c>
      <c r="N93" s="1207">
        <v>1085.53566771</v>
      </c>
      <c r="O93" s="144">
        <v>53.3721258523035</v>
      </c>
      <c r="P93" s="650">
        <v>1085.53566771</v>
      </c>
    </row>
    <row r="94" s="168" customFormat="1" ht="19.65" customHeight="1" outlineLevel="3" spans="1:16">
      <c r="A94" s="456"/>
      <c r="B94" s="786" t="s">
        <v>824</v>
      </c>
      <c r="C94" s="612" t="s">
        <v>622</v>
      </c>
      <c r="D94" s="705" t="s">
        <v>825</v>
      </c>
      <c r="E94" s="479" t="s">
        <v>826</v>
      </c>
      <c r="F94" s="479" t="s">
        <v>599</v>
      </c>
      <c r="G94" s="1226">
        <v>5.55</v>
      </c>
      <c r="H94" s="1226" t="s">
        <v>827</v>
      </c>
      <c r="I94" s="1207">
        <v>65262.6</v>
      </c>
      <c r="J94" s="1244">
        <v>27</v>
      </c>
      <c r="K94" s="1209">
        <v>0.11</v>
      </c>
      <c r="L94" s="809">
        <v>977.960061</v>
      </c>
      <c r="M94" s="809">
        <v>107.57560671</v>
      </c>
      <c r="N94" s="144">
        <v>1085.53566771</v>
      </c>
      <c r="O94" s="144">
        <v>53.3721258523035</v>
      </c>
      <c r="P94" s="144">
        <v>1085.53566771</v>
      </c>
    </row>
    <row r="95" s="168" customFormat="1" ht="19.65" customHeight="1" outlineLevel="3" spans="1:16">
      <c r="A95" s="456"/>
      <c r="B95" s="786" t="s">
        <v>828</v>
      </c>
      <c r="C95" s="612" t="s">
        <v>622</v>
      </c>
      <c r="D95" s="705" t="s">
        <v>829</v>
      </c>
      <c r="E95" s="479" t="s">
        <v>774</v>
      </c>
      <c r="F95" s="479" t="s">
        <v>599</v>
      </c>
      <c r="G95" s="1226"/>
      <c r="H95" s="1226" t="s">
        <v>827</v>
      </c>
      <c r="I95" s="1207"/>
      <c r="J95" s="1244"/>
      <c r="K95" s="1209">
        <v>0.11</v>
      </c>
      <c r="L95" s="809">
        <v>0</v>
      </c>
      <c r="M95" s="809">
        <v>0</v>
      </c>
      <c r="N95" s="144">
        <v>0</v>
      </c>
      <c r="O95" s="144">
        <v>0</v>
      </c>
      <c r="P95" s="144">
        <v>0</v>
      </c>
    </row>
    <row r="96" s="168" customFormat="1" ht="19.65" customHeight="1" outlineLevel="3" spans="1:16">
      <c r="A96" s="456"/>
      <c r="B96" s="786" t="s">
        <v>830</v>
      </c>
      <c r="C96" s="612" t="s">
        <v>622</v>
      </c>
      <c r="D96" s="705" t="s">
        <v>831</v>
      </c>
      <c r="E96" s="479" t="s">
        <v>774</v>
      </c>
      <c r="F96" s="479" t="s">
        <v>599</v>
      </c>
      <c r="G96" s="1226"/>
      <c r="H96" s="1226" t="s">
        <v>827</v>
      </c>
      <c r="I96" s="1207">
        <v>65546.1504529512</v>
      </c>
      <c r="J96" s="1244">
        <v>36</v>
      </c>
      <c r="K96" s="1209">
        <v>0.11</v>
      </c>
      <c r="L96" s="809">
        <v>0</v>
      </c>
      <c r="M96" s="809">
        <v>0</v>
      </c>
      <c r="N96" s="144">
        <v>0</v>
      </c>
      <c r="O96" s="144">
        <v>0</v>
      </c>
      <c r="P96" s="144">
        <v>0</v>
      </c>
    </row>
    <row r="97" s="168" customFormat="1" ht="19.65" customHeight="1" outlineLevel="2" spans="1:16">
      <c r="A97" s="456"/>
      <c r="B97" s="786" t="s">
        <v>832</v>
      </c>
      <c r="C97" s="375" t="s">
        <v>657</v>
      </c>
      <c r="D97" s="705" t="s">
        <v>833</v>
      </c>
      <c r="E97" s="479"/>
      <c r="F97" s="706"/>
      <c r="G97" s="1226"/>
      <c r="H97" s="1226"/>
      <c r="I97" s="1226"/>
      <c r="J97" s="1244"/>
      <c r="K97" s="1209"/>
      <c r="L97" s="1244">
        <v>120.126126126126</v>
      </c>
      <c r="M97" s="1244">
        <v>13.2138738738739</v>
      </c>
      <c r="N97" s="1207">
        <v>133.34</v>
      </c>
      <c r="O97" s="144">
        <v>6.55587787010178</v>
      </c>
      <c r="P97" s="144">
        <v>133.34</v>
      </c>
    </row>
    <row r="98" s="168" customFormat="1" ht="18.75" customHeight="1" outlineLevel="3" spans="1:16">
      <c r="A98" s="456"/>
      <c r="B98" s="786" t="s">
        <v>834</v>
      </c>
      <c r="C98" s="612" t="s">
        <v>622</v>
      </c>
      <c r="D98" s="705" t="s">
        <v>835</v>
      </c>
      <c r="E98" s="479" t="s">
        <v>774</v>
      </c>
      <c r="F98" s="290" t="s">
        <v>836</v>
      </c>
      <c r="G98" s="1226">
        <v>1</v>
      </c>
      <c r="H98" s="1226" t="s">
        <v>837</v>
      </c>
      <c r="I98" s="301">
        <v>180</v>
      </c>
      <c r="J98" s="1244">
        <v>2000</v>
      </c>
      <c r="K98" s="1209">
        <v>0.11</v>
      </c>
      <c r="L98" s="809">
        <v>36</v>
      </c>
      <c r="M98" s="809">
        <v>3.96</v>
      </c>
      <c r="N98" s="144">
        <v>39.96</v>
      </c>
      <c r="O98" s="144">
        <v>1.96469836275136</v>
      </c>
      <c r="P98" s="144">
        <v>39.96</v>
      </c>
    </row>
    <row r="99" s="168" customFormat="1" ht="18.75" customHeight="1" outlineLevel="3" spans="1:16">
      <c r="A99" s="456"/>
      <c r="B99" s="786" t="s">
        <v>838</v>
      </c>
      <c r="C99" s="612" t="s">
        <v>622</v>
      </c>
      <c r="D99" s="705" t="s">
        <v>839</v>
      </c>
      <c r="E99" s="479" t="s">
        <v>840</v>
      </c>
      <c r="F99" s="290" t="s">
        <v>836</v>
      </c>
      <c r="G99" s="1226">
        <v>6.67</v>
      </c>
      <c r="H99" s="1226" t="s">
        <v>837</v>
      </c>
      <c r="I99" s="1245">
        <v>1400</v>
      </c>
      <c r="J99" s="1207">
        <v>90.0900900900901</v>
      </c>
      <c r="K99" s="1209">
        <v>0.11</v>
      </c>
      <c r="L99" s="809">
        <v>84.1261261261261</v>
      </c>
      <c r="M99" s="809">
        <v>9.25387387387387</v>
      </c>
      <c r="N99" s="144">
        <v>93.38</v>
      </c>
      <c r="O99" s="144">
        <v>4.59117950735041</v>
      </c>
      <c r="P99" s="650">
        <v>93.38</v>
      </c>
    </row>
    <row r="100" s="168" customFormat="1" ht="18.75" customHeight="1" outlineLevel="3" spans="1:16">
      <c r="A100" s="456"/>
      <c r="B100" s="786" t="s">
        <v>841</v>
      </c>
      <c r="C100" s="612" t="s">
        <v>622</v>
      </c>
      <c r="D100" s="705" t="s">
        <v>842</v>
      </c>
      <c r="E100" s="479" t="s">
        <v>843</v>
      </c>
      <c r="F100" s="706"/>
      <c r="G100" s="1226"/>
      <c r="H100" s="1226"/>
      <c r="I100" s="1226"/>
      <c r="J100" s="1244"/>
      <c r="K100" s="1209">
        <v>0.11</v>
      </c>
      <c r="L100" s="809">
        <v>0</v>
      </c>
      <c r="M100" s="809">
        <v>0</v>
      </c>
      <c r="N100" s="144">
        <v>0</v>
      </c>
      <c r="O100" s="144">
        <v>0</v>
      </c>
      <c r="P100" s="144">
        <v>0</v>
      </c>
    </row>
    <row r="101" s="168" customFormat="1" ht="19.65" customHeight="1" outlineLevel="2" spans="1:16">
      <c r="A101" s="456"/>
      <c r="B101" s="786" t="s">
        <v>844</v>
      </c>
      <c r="C101" s="375" t="s">
        <v>762</v>
      </c>
      <c r="D101" s="705" t="s">
        <v>845</v>
      </c>
      <c r="E101" s="479"/>
      <c r="F101" s="706"/>
      <c r="G101" s="1226"/>
      <c r="H101" s="1226"/>
      <c r="I101" s="1226"/>
      <c r="J101" s="1244"/>
      <c r="K101" s="1209"/>
      <c r="L101" s="1244">
        <v>0</v>
      </c>
      <c r="M101" s="1244">
        <v>0</v>
      </c>
      <c r="N101" s="1207">
        <v>0</v>
      </c>
      <c r="O101" s="144">
        <v>0</v>
      </c>
      <c r="P101" s="144">
        <v>0</v>
      </c>
    </row>
    <row r="102" s="168" customFormat="1" ht="22.5" customHeight="1" outlineLevel="3" spans="1:16">
      <c r="A102" s="456"/>
      <c r="B102" s="786" t="s">
        <v>846</v>
      </c>
      <c r="C102" s="612" t="s">
        <v>622</v>
      </c>
      <c r="D102" s="705" t="s">
        <v>847</v>
      </c>
      <c r="E102" s="479" t="s">
        <v>774</v>
      </c>
      <c r="F102" s="479"/>
      <c r="G102" s="375"/>
      <c r="H102" s="765" t="s">
        <v>655</v>
      </c>
      <c r="I102" s="1246">
        <v>11250</v>
      </c>
      <c r="J102" s="1247">
        <v>211.72</v>
      </c>
      <c r="K102" s="1209">
        <v>0.11</v>
      </c>
      <c r="L102" s="809">
        <v>0</v>
      </c>
      <c r="M102" s="809">
        <v>0</v>
      </c>
      <c r="N102" s="144">
        <v>0</v>
      </c>
      <c r="O102" s="144">
        <v>0</v>
      </c>
      <c r="P102" s="650"/>
    </row>
    <row r="103" s="168" customFormat="1" ht="19.65" customHeight="1" outlineLevel="2" spans="1:16">
      <c r="A103" s="456"/>
      <c r="B103" s="786" t="s">
        <v>848</v>
      </c>
      <c r="C103" s="375" t="s">
        <v>778</v>
      </c>
      <c r="D103" s="705" t="s">
        <v>849</v>
      </c>
      <c r="E103" s="479" t="s">
        <v>850</v>
      </c>
      <c r="F103" s="706"/>
      <c r="G103" s="478">
        <v>1</v>
      </c>
      <c r="H103" s="479" t="s">
        <v>655</v>
      </c>
      <c r="I103" s="1248">
        <v>65546.1504529512</v>
      </c>
      <c r="J103" s="1207">
        <v>36.036036036036</v>
      </c>
      <c r="K103" s="1209">
        <v>0.11</v>
      </c>
      <c r="L103" s="809">
        <v>236.202343974599</v>
      </c>
      <c r="M103" s="809">
        <v>25.9822578372059</v>
      </c>
      <c r="N103" s="144">
        <v>262.184601811805</v>
      </c>
      <c r="O103" s="144">
        <v>12.8907321801369</v>
      </c>
      <c r="P103" s="144">
        <v>262.184601811805</v>
      </c>
    </row>
    <row r="104" s="168" customFormat="1" ht="19.65" customHeight="1" outlineLevel="2" spans="1:16">
      <c r="A104" s="456"/>
      <c r="B104" s="786" t="s">
        <v>851</v>
      </c>
      <c r="C104" s="375" t="s">
        <v>781</v>
      </c>
      <c r="D104" s="705" t="s">
        <v>852</v>
      </c>
      <c r="E104" s="479"/>
      <c r="F104" s="706"/>
      <c r="G104" s="1226"/>
      <c r="H104" s="1226"/>
      <c r="I104" s="1248">
        <v>65546.1504529512</v>
      </c>
      <c r="J104" s="1244"/>
      <c r="K104" s="1209"/>
      <c r="L104" s="1244">
        <v>2231.49584896529</v>
      </c>
      <c r="M104" s="1244">
        <v>245.464543386182</v>
      </c>
      <c r="N104" s="144">
        <v>2476.96039235147</v>
      </c>
      <c r="O104" s="144">
        <v>121.783784470794</v>
      </c>
      <c r="P104" s="144">
        <v>2476.96039235147</v>
      </c>
    </row>
    <row r="105" s="168" customFormat="1" ht="23.25" customHeight="1" outlineLevel="3" spans="1:16">
      <c r="A105" s="456"/>
      <c r="B105" s="786" t="s">
        <v>853</v>
      </c>
      <c r="C105" s="612" t="s">
        <v>622</v>
      </c>
      <c r="D105" s="705" t="s">
        <v>854</v>
      </c>
      <c r="E105" s="479" t="s">
        <v>850</v>
      </c>
      <c r="F105" s="479"/>
      <c r="G105" s="1226"/>
      <c r="H105" s="1226"/>
      <c r="I105" s="1248">
        <v>65546.1504529512</v>
      </c>
      <c r="J105" s="1244"/>
      <c r="K105" s="1209"/>
      <c r="L105" s="1244">
        <v>2094.72277373882</v>
      </c>
      <c r="M105" s="1244">
        <v>230.41950511127</v>
      </c>
      <c r="N105" s="144">
        <v>2325.14227885009</v>
      </c>
      <c r="O105" s="144">
        <v>114.319400110629</v>
      </c>
      <c r="P105" s="144">
        <v>2325.14227885009</v>
      </c>
    </row>
    <row r="106" s="168" customFormat="1" ht="23.25" customHeight="1" outlineLevel="2" spans="1:16">
      <c r="A106" s="456"/>
      <c r="B106" s="786" t="s">
        <v>855</v>
      </c>
      <c r="C106" s="706"/>
      <c r="D106" s="1227" t="s">
        <v>856</v>
      </c>
      <c r="E106" s="479"/>
      <c r="F106" s="479" t="s">
        <v>665</v>
      </c>
      <c r="G106" s="1228">
        <v>1</v>
      </c>
      <c r="H106" s="479" t="s">
        <v>857</v>
      </c>
      <c r="I106" s="1248">
        <v>273546.150452951</v>
      </c>
      <c r="J106" s="1207">
        <v>76.5765765765766</v>
      </c>
      <c r="K106" s="1209">
        <v>0.11</v>
      </c>
      <c r="L106" s="809">
        <v>2094.72277373882</v>
      </c>
      <c r="M106" s="809">
        <v>230.41950511127</v>
      </c>
      <c r="N106" s="144">
        <v>2325.14227885009</v>
      </c>
      <c r="O106" s="144">
        <v>114.319400110629</v>
      </c>
      <c r="P106" s="144"/>
    </row>
    <row r="107" s="168" customFormat="1" ht="23.25" customHeight="1" outlineLevel="2" spans="1:16">
      <c r="A107" s="456"/>
      <c r="B107" s="786" t="s">
        <v>858</v>
      </c>
      <c r="C107" s="706"/>
      <c r="D107" s="1227" t="s">
        <v>859</v>
      </c>
      <c r="E107" s="479"/>
      <c r="F107" s="479" t="s">
        <v>665</v>
      </c>
      <c r="G107" s="1228"/>
      <c r="H107" s="479" t="s">
        <v>857</v>
      </c>
      <c r="I107" s="1248">
        <v>273546.150452951</v>
      </c>
      <c r="J107" s="1244">
        <v>312</v>
      </c>
      <c r="K107" s="1209">
        <v>0.11</v>
      </c>
      <c r="L107" s="809">
        <v>0</v>
      </c>
      <c r="M107" s="809">
        <v>0</v>
      </c>
      <c r="N107" s="144">
        <v>0</v>
      </c>
      <c r="O107" s="144">
        <v>0</v>
      </c>
      <c r="P107" s="144"/>
    </row>
    <row r="108" s="168" customFormat="1" ht="23.25" customHeight="1" outlineLevel="2" spans="1:16">
      <c r="A108" s="456"/>
      <c r="B108" s="786" t="s">
        <v>860</v>
      </c>
      <c r="C108" s="706"/>
      <c r="D108" s="1227" t="s">
        <v>861</v>
      </c>
      <c r="E108" s="479"/>
      <c r="F108" s="479" t="s">
        <v>862</v>
      </c>
      <c r="G108" s="1228"/>
      <c r="H108" s="479" t="s">
        <v>857</v>
      </c>
      <c r="I108" s="1248">
        <v>9935</v>
      </c>
      <c r="J108" s="1244">
        <v>36</v>
      </c>
      <c r="K108" s="1209">
        <v>0.11</v>
      </c>
      <c r="L108" s="809">
        <v>0</v>
      </c>
      <c r="M108" s="809">
        <v>0</v>
      </c>
      <c r="N108" s="144">
        <v>0</v>
      </c>
      <c r="O108" s="144">
        <v>0</v>
      </c>
      <c r="P108" s="144"/>
    </row>
    <row r="109" s="168" customFormat="1" ht="23.25" customHeight="1" outlineLevel="2" spans="1:16">
      <c r="A109" s="456"/>
      <c r="B109" s="786" t="s">
        <v>863</v>
      </c>
      <c r="C109" s="706"/>
      <c r="D109" s="1227" t="s">
        <v>864</v>
      </c>
      <c r="E109" s="479"/>
      <c r="F109" s="479" t="s">
        <v>862</v>
      </c>
      <c r="G109" s="1228"/>
      <c r="H109" s="479" t="s">
        <v>857</v>
      </c>
      <c r="I109" s="1248">
        <v>9935</v>
      </c>
      <c r="J109" s="1244">
        <v>36</v>
      </c>
      <c r="K109" s="1209">
        <v>0.11</v>
      </c>
      <c r="L109" s="809">
        <v>0</v>
      </c>
      <c r="M109" s="809">
        <v>0</v>
      </c>
      <c r="N109" s="144">
        <v>0</v>
      </c>
      <c r="O109" s="144">
        <v>0</v>
      </c>
      <c r="P109" s="144"/>
    </row>
    <row r="110" ht="23.25" customHeight="1" outlineLevel="3" spans="1:20">
      <c r="A110" s="581"/>
      <c r="B110" s="786" t="s">
        <v>865</v>
      </c>
      <c r="C110" s="612" t="s">
        <v>622</v>
      </c>
      <c r="D110" s="705" t="s">
        <v>866</v>
      </c>
      <c r="E110" s="479" t="s">
        <v>850</v>
      </c>
      <c r="F110" s="479" t="s">
        <v>665</v>
      </c>
      <c r="G110" s="1226"/>
      <c r="H110" s="1226"/>
      <c r="I110" s="1248">
        <v>273546.150452951</v>
      </c>
      <c r="J110" s="1244"/>
      <c r="K110" s="1209">
        <v>0.11</v>
      </c>
      <c r="L110" s="809">
        <v>0</v>
      </c>
      <c r="M110" s="809">
        <v>0</v>
      </c>
      <c r="N110" s="144">
        <v>0</v>
      </c>
      <c r="O110" s="650">
        <v>0</v>
      </c>
      <c r="P110" s="650">
        <v>0</v>
      </c>
      <c r="R110" s="580"/>
      <c r="S110" s="580"/>
      <c r="T110" s="580"/>
    </row>
    <row r="111" s="168" customFormat="1" ht="23.25" customHeight="1" outlineLevel="3" spans="1:16">
      <c r="A111" s="456"/>
      <c r="B111" s="786" t="s">
        <v>867</v>
      </c>
      <c r="C111" s="612" t="s">
        <v>622</v>
      </c>
      <c r="D111" s="705" t="s">
        <v>868</v>
      </c>
      <c r="E111" s="1225" t="s">
        <v>869</v>
      </c>
      <c r="F111" s="479" t="s">
        <v>665</v>
      </c>
      <c r="G111" s="1226">
        <v>1</v>
      </c>
      <c r="H111" s="479" t="s">
        <v>857</v>
      </c>
      <c r="I111" s="1248">
        <v>273546.150452951</v>
      </c>
      <c r="J111" s="1244">
        <v>5</v>
      </c>
      <c r="K111" s="1209">
        <v>0.11</v>
      </c>
      <c r="L111" s="809">
        <v>136.773075226476</v>
      </c>
      <c r="M111" s="809">
        <v>15.0450382749123</v>
      </c>
      <c r="N111" s="144">
        <v>151.818113501388</v>
      </c>
      <c r="O111" s="144">
        <v>7.46438436016461</v>
      </c>
      <c r="P111" s="650">
        <v>151.818113501388</v>
      </c>
    </row>
    <row r="112" s="168" customFormat="1" customHeight="1" outlineLevel="1" spans="1:16">
      <c r="A112" s="456"/>
      <c r="B112" s="1817" t="s">
        <v>531</v>
      </c>
      <c r="C112" s="185">
        <v>4</v>
      </c>
      <c r="D112" s="597" t="s">
        <v>532</v>
      </c>
      <c r="E112" s="718"/>
      <c r="F112" s="185"/>
      <c r="G112" s="185"/>
      <c r="H112" s="185"/>
      <c r="I112" s="185"/>
      <c r="J112" s="1236"/>
      <c r="K112" s="493"/>
      <c r="L112" s="1236">
        <v>0</v>
      </c>
      <c r="M112" s="1236">
        <v>0</v>
      </c>
      <c r="N112" s="545">
        <v>0</v>
      </c>
      <c r="O112" s="645">
        <v>0</v>
      </c>
      <c r="P112" s="645">
        <v>0</v>
      </c>
    </row>
    <row r="113" s="168" customFormat="1" customHeight="1" outlineLevel="2" spans="1:16">
      <c r="A113" s="456"/>
      <c r="B113" s="786" t="s">
        <v>870</v>
      </c>
      <c r="C113" s="787" t="s">
        <v>619</v>
      </c>
      <c r="D113" s="708" t="s">
        <v>871</v>
      </c>
      <c r="E113" s="1229"/>
      <c r="F113" s="479" t="s">
        <v>261</v>
      </c>
      <c r="G113" s="375"/>
      <c r="H113" s="765"/>
      <c r="I113" s="375"/>
      <c r="J113" s="809"/>
      <c r="K113" s="497">
        <v>0.11</v>
      </c>
      <c r="L113" s="809"/>
      <c r="M113" s="809"/>
      <c r="N113" s="475">
        <v>0</v>
      </c>
      <c r="O113" s="144">
        <v>0</v>
      </c>
      <c r="P113" s="475">
        <v>0</v>
      </c>
    </row>
    <row r="114" s="168" customFormat="1" customHeight="1" outlineLevel="2" spans="1:16">
      <c r="A114" s="456"/>
      <c r="B114" s="786" t="s">
        <v>872</v>
      </c>
      <c r="C114" s="787" t="s">
        <v>657</v>
      </c>
      <c r="D114" s="708" t="s">
        <v>873</v>
      </c>
      <c r="E114" s="1229" t="s">
        <v>874</v>
      </c>
      <c r="F114" s="601"/>
      <c r="G114" s="375"/>
      <c r="H114" s="375"/>
      <c r="I114" s="375"/>
      <c r="J114" s="809"/>
      <c r="K114" s="497">
        <v>0.11</v>
      </c>
      <c r="L114" s="809"/>
      <c r="M114" s="809"/>
      <c r="N114" s="475">
        <v>0</v>
      </c>
      <c r="O114" s="144">
        <v>0</v>
      </c>
      <c r="P114" s="475">
        <v>0</v>
      </c>
    </row>
    <row r="115" s="1163" customFormat="1" ht="24.75" customHeight="1" spans="1:16">
      <c r="A115" s="1179"/>
      <c r="B115" s="1180" t="s">
        <v>875</v>
      </c>
      <c r="C115" s="593" t="s">
        <v>533</v>
      </c>
      <c r="D115" s="468" t="s">
        <v>481</v>
      </c>
      <c r="E115" s="469"/>
      <c r="F115" s="1181"/>
      <c r="G115" s="1182"/>
      <c r="H115" s="920"/>
      <c r="I115" s="973"/>
      <c r="J115" s="1235"/>
      <c r="K115" s="1235"/>
      <c r="L115" s="1204">
        <v>14422.6843282254</v>
      </c>
      <c r="M115" s="1204">
        <v>1157.30136604411</v>
      </c>
      <c r="N115" s="1204">
        <v>15579.9856942695</v>
      </c>
      <c r="O115" s="1204">
        <v>766.01532495548</v>
      </c>
      <c r="P115" s="975">
        <v>15579.9856942695</v>
      </c>
    </row>
    <row r="116" customHeight="1" outlineLevel="1" spans="1:20">
      <c r="A116" s="581"/>
      <c r="B116" s="1817" t="s">
        <v>540</v>
      </c>
      <c r="C116" s="596">
        <v>3</v>
      </c>
      <c r="D116" s="1230" t="s">
        <v>541</v>
      </c>
      <c r="E116" s="506"/>
      <c r="F116" s="1231"/>
      <c r="G116" s="770"/>
      <c r="H116" s="762"/>
      <c r="I116" s="769"/>
      <c r="J116" s="1249"/>
      <c r="K116" s="1249"/>
      <c r="L116" s="545">
        <v>10319.4920714311</v>
      </c>
      <c r="M116" s="545">
        <v>1157.30136604411</v>
      </c>
      <c r="N116" s="545">
        <v>11476.7934374752</v>
      </c>
      <c r="O116" s="645">
        <v>564.275207113193</v>
      </c>
      <c r="P116" s="645">
        <v>11476.7934374752</v>
      </c>
      <c r="R116" s="580"/>
      <c r="S116" s="580"/>
      <c r="T116" s="580"/>
    </row>
    <row r="117" s="168" customFormat="1" customHeight="1" outlineLevel="2" spans="1:16">
      <c r="A117" s="456"/>
      <c r="B117" s="786" t="s">
        <v>876</v>
      </c>
      <c r="C117" s="787" t="s">
        <v>619</v>
      </c>
      <c r="D117" s="763" t="s">
        <v>877</v>
      </c>
      <c r="E117" s="766"/>
      <c r="F117" s="290"/>
      <c r="G117" s="475"/>
      <c r="H117" s="301"/>
      <c r="I117" s="301"/>
      <c r="J117" s="776"/>
      <c r="K117" s="497"/>
      <c r="L117" s="144">
        <v>3935.27651177478</v>
      </c>
      <c r="M117" s="144">
        <v>455.037654481915</v>
      </c>
      <c r="N117" s="144">
        <v>4390.3141662567</v>
      </c>
      <c r="O117" s="144">
        <v>215.85693329351</v>
      </c>
      <c r="P117" s="650">
        <v>4390.3141662567</v>
      </c>
    </row>
    <row r="118" s="168" customFormat="1" customHeight="1" outlineLevel="3" spans="1:16">
      <c r="A118" s="456"/>
      <c r="B118" s="786" t="s">
        <v>878</v>
      </c>
      <c r="C118" s="612" t="s">
        <v>622</v>
      </c>
      <c r="D118" s="507" t="s">
        <v>879</v>
      </c>
      <c r="E118" s="1232" t="s">
        <v>880</v>
      </c>
      <c r="F118" s="1233" t="s">
        <v>505</v>
      </c>
      <c r="G118" s="1234">
        <v>1</v>
      </c>
      <c r="H118" s="765" t="s">
        <v>625</v>
      </c>
      <c r="I118" s="765">
        <v>273546.150452951</v>
      </c>
      <c r="J118" s="772">
        <v>100</v>
      </c>
      <c r="K118" s="497">
        <v>0.11</v>
      </c>
      <c r="L118" s="772">
        <v>2735.46150452951</v>
      </c>
      <c r="M118" s="772">
        <v>300.900765498246</v>
      </c>
      <c r="N118" s="144">
        <v>3036.36227002776</v>
      </c>
      <c r="O118" s="144">
        <v>149.287687203292</v>
      </c>
      <c r="P118" s="1250">
        <v>3036.36227002776</v>
      </c>
    </row>
    <row r="119" s="168" customFormat="1" customHeight="1" outlineLevel="3" spans="1:16">
      <c r="A119" s="456"/>
      <c r="B119" s="786" t="s">
        <v>881</v>
      </c>
      <c r="C119" s="612" t="s">
        <v>622</v>
      </c>
      <c r="D119" s="507" t="s">
        <v>882</v>
      </c>
      <c r="E119" s="1233" t="s">
        <v>774</v>
      </c>
      <c r="F119" s="1233" t="s">
        <v>505</v>
      </c>
      <c r="G119" s="1234"/>
      <c r="H119" s="765" t="s">
        <v>625</v>
      </c>
      <c r="I119" s="765">
        <v>273546.150452951</v>
      </c>
      <c r="J119" s="776"/>
      <c r="K119" s="497">
        <v>0.11</v>
      </c>
      <c r="L119" s="772">
        <v>0</v>
      </c>
      <c r="M119" s="772">
        <v>0</v>
      </c>
      <c r="N119" s="144">
        <v>0</v>
      </c>
      <c r="O119" s="144">
        <v>0</v>
      </c>
      <c r="P119" s="1250">
        <v>0</v>
      </c>
    </row>
    <row r="120" s="168" customFormat="1" customHeight="1" outlineLevel="3" spans="1:16">
      <c r="A120" s="456"/>
      <c r="B120" s="786" t="s">
        <v>883</v>
      </c>
      <c r="C120" s="612" t="s">
        <v>622</v>
      </c>
      <c r="D120" s="507" t="s">
        <v>884</v>
      </c>
      <c r="E120" s="1233" t="s">
        <v>774</v>
      </c>
      <c r="F120" s="1233" t="s">
        <v>505</v>
      </c>
      <c r="G120" s="1234">
        <v>1</v>
      </c>
      <c r="H120" s="765" t="s">
        <v>625</v>
      </c>
      <c r="I120" s="765">
        <v>273546.150452951</v>
      </c>
      <c r="J120" s="776">
        <v>27.03</v>
      </c>
      <c r="K120" s="497">
        <v>0.11</v>
      </c>
      <c r="L120" s="772">
        <v>739.395244674327</v>
      </c>
      <c r="M120" s="772">
        <v>81.333476914176</v>
      </c>
      <c r="N120" s="144">
        <v>820.728721588503</v>
      </c>
      <c r="O120" s="144">
        <v>40.3524618510499</v>
      </c>
      <c r="P120" s="1250">
        <v>820.728721588503</v>
      </c>
    </row>
    <row r="121" s="168" customFormat="1" customHeight="1" outlineLevel="3" spans="1:16">
      <c r="A121" s="456"/>
      <c r="B121" s="786" t="s">
        <v>885</v>
      </c>
      <c r="C121" s="612" t="s">
        <v>622</v>
      </c>
      <c r="D121" s="507" t="s">
        <v>886</v>
      </c>
      <c r="E121" s="1233"/>
      <c r="F121" s="1233" t="s">
        <v>505</v>
      </c>
      <c r="G121" s="1234">
        <v>1</v>
      </c>
      <c r="H121" s="765" t="s">
        <v>655</v>
      </c>
      <c r="I121" s="765">
        <v>652.626</v>
      </c>
      <c r="J121" s="1251">
        <v>1396.3963963964</v>
      </c>
      <c r="K121" s="497">
        <v>0.11</v>
      </c>
      <c r="L121" s="772">
        <v>91.1324594594595</v>
      </c>
      <c r="M121" s="772">
        <v>10.0245705405405</v>
      </c>
      <c r="N121" s="144">
        <v>101.15703</v>
      </c>
      <c r="O121" s="144">
        <v>4.97354983037514</v>
      </c>
      <c r="P121" s="1250">
        <v>101.15703</v>
      </c>
    </row>
    <row r="122" s="168" customFormat="1" customHeight="1" outlineLevel="3" spans="1:16">
      <c r="A122" s="456"/>
      <c r="B122" s="786" t="s">
        <v>887</v>
      </c>
      <c r="C122" s="612" t="s">
        <v>622</v>
      </c>
      <c r="D122" s="507" t="s">
        <v>888</v>
      </c>
      <c r="E122" s="479"/>
      <c r="F122" s="1233" t="s">
        <v>505</v>
      </c>
      <c r="G122" s="1234"/>
      <c r="H122" s="765"/>
      <c r="I122" s="765"/>
      <c r="J122" s="772"/>
      <c r="K122" s="497"/>
      <c r="L122" s="144">
        <v>369.287303111484</v>
      </c>
      <c r="M122" s="144">
        <v>62.7788415289523</v>
      </c>
      <c r="N122" s="144">
        <v>432.066144640437</v>
      </c>
      <c r="O122" s="144">
        <v>21.2432344087928</v>
      </c>
      <c r="P122" s="1250">
        <v>432.066144640437</v>
      </c>
    </row>
    <row r="123" s="168" customFormat="1" customHeight="1" outlineLevel="3" spans="1:16">
      <c r="A123" s="456"/>
      <c r="B123" s="786" t="s">
        <v>889</v>
      </c>
      <c r="C123" s="612"/>
      <c r="D123" s="509" t="s">
        <v>890</v>
      </c>
      <c r="E123" s="479" t="s">
        <v>891</v>
      </c>
      <c r="F123" s="1233" t="s">
        <v>505</v>
      </c>
      <c r="G123" s="1234">
        <v>1</v>
      </c>
      <c r="H123" s="765" t="s">
        <v>625</v>
      </c>
      <c r="I123" s="765">
        <v>273546.150452951</v>
      </c>
      <c r="J123" s="772">
        <v>13.5</v>
      </c>
      <c r="K123" s="497">
        <v>0.17</v>
      </c>
      <c r="L123" s="772">
        <v>369.287303111484</v>
      </c>
      <c r="M123" s="772">
        <v>62.7788415289523</v>
      </c>
      <c r="N123" s="144">
        <v>432.066144640437</v>
      </c>
      <c r="O123" s="144">
        <v>21.2432344087928</v>
      </c>
      <c r="P123" s="144">
        <v>432.066144640437</v>
      </c>
    </row>
    <row r="124" s="168" customFormat="1" customHeight="1" outlineLevel="3" spans="1:16">
      <c r="A124" s="456"/>
      <c r="B124" s="786" t="s">
        <v>892</v>
      </c>
      <c r="C124" s="612"/>
      <c r="D124" s="509" t="s">
        <v>893</v>
      </c>
      <c r="E124" s="479" t="s">
        <v>891</v>
      </c>
      <c r="F124" s="1233" t="s">
        <v>505</v>
      </c>
      <c r="G124" s="1234"/>
      <c r="H124" s="765" t="s">
        <v>625</v>
      </c>
      <c r="I124" s="765">
        <v>273546.150452951</v>
      </c>
      <c r="J124" s="772"/>
      <c r="K124" s="497">
        <v>0.11</v>
      </c>
      <c r="L124" s="772">
        <v>0</v>
      </c>
      <c r="M124" s="772">
        <v>0</v>
      </c>
      <c r="N124" s="144">
        <v>0</v>
      </c>
      <c r="O124" s="144">
        <v>0</v>
      </c>
      <c r="P124" s="650">
        <v>0</v>
      </c>
    </row>
    <row r="125" s="168" customFormat="1" customHeight="1" outlineLevel="3" spans="1:16">
      <c r="A125" s="456"/>
      <c r="B125" s="786" t="s">
        <v>894</v>
      </c>
      <c r="C125" s="612" t="s">
        <v>622</v>
      </c>
      <c r="D125" s="507" t="s">
        <v>895</v>
      </c>
      <c r="E125" s="1233"/>
      <c r="F125" s="1233" t="s">
        <v>505</v>
      </c>
      <c r="G125" s="1234"/>
      <c r="H125" s="765"/>
      <c r="I125" s="765"/>
      <c r="J125" s="776"/>
      <c r="K125" s="497"/>
      <c r="L125" s="144">
        <v>0</v>
      </c>
      <c r="M125" s="144">
        <v>0</v>
      </c>
      <c r="N125" s="144">
        <v>0</v>
      </c>
      <c r="O125" s="144">
        <v>0</v>
      </c>
      <c r="P125" s="1250">
        <v>0</v>
      </c>
    </row>
    <row r="126" s="168" customFormat="1" customHeight="1" outlineLevel="3" spans="1:16">
      <c r="A126" s="456"/>
      <c r="B126" s="786" t="s">
        <v>896</v>
      </c>
      <c r="C126" s="612"/>
      <c r="D126" s="509" t="s">
        <v>897</v>
      </c>
      <c r="E126" s="1233" t="s">
        <v>774</v>
      </c>
      <c r="F126" s="1233" t="s">
        <v>505</v>
      </c>
      <c r="G126" s="1234"/>
      <c r="H126" s="765" t="s">
        <v>625</v>
      </c>
      <c r="I126" s="765">
        <v>273546.150452951</v>
      </c>
      <c r="J126" s="776"/>
      <c r="K126" s="497">
        <v>0.17</v>
      </c>
      <c r="L126" s="772">
        <v>0</v>
      </c>
      <c r="M126" s="772">
        <v>0</v>
      </c>
      <c r="N126" s="144">
        <v>0</v>
      </c>
      <c r="O126" s="144">
        <v>0</v>
      </c>
      <c r="P126" s="1250">
        <v>0</v>
      </c>
    </row>
    <row r="127" s="168" customFormat="1" customHeight="1" outlineLevel="3" spans="1:16">
      <c r="A127" s="456"/>
      <c r="B127" s="786" t="s">
        <v>898</v>
      </c>
      <c r="C127" s="612"/>
      <c r="D127" s="509" t="s">
        <v>899</v>
      </c>
      <c r="E127" s="1233" t="s">
        <v>774</v>
      </c>
      <c r="F127" s="1233" t="s">
        <v>505</v>
      </c>
      <c r="G127" s="1234"/>
      <c r="H127" s="765" t="s">
        <v>625</v>
      </c>
      <c r="I127" s="765">
        <v>273546.150452951</v>
      </c>
      <c r="J127" s="776"/>
      <c r="K127" s="497">
        <v>0.11</v>
      </c>
      <c r="L127" s="772">
        <v>0</v>
      </c>
      <c r="M127" s="772">
        <v>0</v>
      </c>
      <c r="N127" s="144">
        <v>0</v>
      </c>
      <c r="O127" s="144">
        <v>0</v>
      </c>
      <c r="P127" s="1250">
        <v>0</v>
      </c>
    </row>
    <row r="128" s="168" customFormat="1" customHeight="1" outlineLevel="2" spans="1:16">
      <c r="A128" s="456"/>
      <c r="B128" s="786" t="s">
        <v>900</v>
      </c>
      <c r="C128" s="787" t="s">
        <v>657</v>
      </c>
      <c r="D128" s="763" t="s">
        <v>901</v>
      </c>
      <c r="E128" s="1233"/>
      <c r="F128" s="290"/>
      <c r="G128" s="475"/>
      <c r="H128" s="301"/>
      <c r="I128" s="301"/>
      <c r="J128" s="776"/>
      <c r="K128" s="497"/>
      <c r="L128" s="144">
        <v>0</v>
      </c>
      <c r="M128" s="144">
        <v>0</v>
      </c>
      <c r="N128" s="144">
        <v>0</v>
      </c>
      <c r="O128" s="144">
        <v>0</v>
      </c>
      <c r="P128" s="650">
        <v>0</v>
      </c>
    </row>
    <row r="129" s="168" customFormat="1" customHeight="1" outlineLevel="3" spans="1:16">
      <c r="A129" s="456"/>
      <c r="B129" s="786" t="s">
        <v>902</v>
      </c>
      <c r="C129" s="612" t="s">
        <v>622</v>
      </c>
      <c r="D129" s="1252" t="s">
        <v>903</v>
      </c>
      <c r="E129" s="1253" t="s">
        <v>904</v>
      </c>
      <c r="F129" s="1233" t="s">
        <v>505</v>
      </c>
      <c r="G129" s="1234"/>
      <c r="H129" s="765" t="s">
        <v>625</v>
      </c>
      <c r="I129" s="765">
        <v>273546.150452951</v>
      </c>
      <c r="J129" s="772"/>
      <c r="K129" s="497">
        <v>0.11</v>
      </c>
      <c r="L129" s="772">
        <v>0</v>
      </c>
      <c r="M129" s="772">
        <v>0</v>
      </c>
      <c r="N129" s="144">
        <v>0</v>
      </c>
      <c r="O129" s="144">
        <v>0</v>
      </c>
      <c r="P129" s="1250">
        <v>0</v>
      </c>
    </row>
    <row r="130" s="168" customFormat="1" customHeight="1" outlineLevel="3" spans="1:16">
      <c r="A130" s="456"/>
      <c r="B130" s="786" t="s">
        <v>905</v>
      </c>
      <c r="C130" s="612" t="s">
        <v>622</v>
      </c>
      <c r="D130" s="1252" t="s">
        <v>906</v>
      </c>
      <c r="E130" s="1253" t="s">
        <v>904</v>
      </c>
      <c r="F130" s="1233" t="s">
        <v>505</v>
      </c>
      <c r="G130" s="1234"/>
      <c r="H130" s="765" t="s">
        <v>625</v>
      </c>
      <c r="I130" s="765">
        <v>273546.150452951</v>
      </c>
      <c r="J130" s="772"/>
      <c r="K130" s="497">
        <v>0.11</v>
      </c>
      <c r="L130" s="772">
        <v>0</v>
      </c>
      <c r="M130" s="772">
        <v>0</v>
      </c>
      <c r="N130" s="144">
        <v>0</v>
      </c>
      <c r="O130" s="144">
        <v>0</v>
      </c>
      <c r="P130" s="1250">
        <v>0</v>
      </c>
    </row>
    <row r="131" s="168" customFormat="1" ht="27.75" customHeight="1" outlineLevel="3" spans="1:16">
      <c r="A131" s="456"/>
      <c r="B131" s="786" t="s">
        <v>907</v>
      </c>
      <c r="C131" s="612" t="s">
        <v>622</v>
      </c>
      <c r="D131" s="1252" t="s">
        <v>908</v>
      </c>
      <c r="E131" s="1253" t="s">
        <v>904</v>
      </c>
      <c r="F131" s="1233" t="s">
        <v>505</v>
      </c>
      <c r="G131" s="1234"/>
      <c r="H131" s="765" t="s">
        <v>625</v>
      </c>
      <c r="I131" s="765">
        <v>273546.150452951</v>
      </c>
      <c r="J131" s="772"/>
      <c r="K131" s="497">
        <v>0.11</v>
      </c>
      <c r="L131" s="772">
        <v>0</v>
      </c>
      <c r="M131" s="772">
        <v>0</v>
      </c>
      <c r="N131" s="144">
        <v>0</v>
      </c>
      <c r="O131" s="144">
        <v>0</v>
      </c>
      <c r="P131" s="650">
        <v>0</v>
      </c>
    </row>
    <row r="132" s="168" customFormat="1" customHeight="1" outlineLevel="2" spans="1:16">
      <c r="A132" s="456"/>
      <c r="B132" s="786" t="s">
        <v>909</v>
      </c>
      <c r="C132" s="787" t="s">
        <v>762</v>
      </c>
      <c r="D132" s="763" t="s">
        <v>910</v>
      </c>
      <c r="E132" s="1233"/>
      <c r="F132" s="290"/>
      <c r="G132" s="475"/>
      <c r="H132" s="301"/>
      <c r="I132" s="301"/>
      <c r="J132" s="776"/>
      <c r="K132" s="497"/>
      <c r="L132" s="144">
        <v>765.429766568693</v>
      </c>
      <c r="M132" s="144">
        <v>84.1972743225562</v>
      </c>
      <c r="N132" s="144">
        <v>849.627040891249</v>
      </c>
      <c r="O132" s="144">
        <v>41.7732946994075</v>
      </c>
      <c r="P132" s="1250">
        <v>849.627040891249</v>
      </c>
    </row>
    <row r="133" s="168" customFormat="1" customHeight="1" outlineLevel="3" spans="1:16">
      <c r="A133" s="456"/>
      <c r="B133" s="786" t="s">
        <v>911</v>
      </c>
      <c r="C133" s="612" t="s">
        <v>622</v>
      </c>
      <c r="D133" s="1252" t="s">
        <v>912</v>
      </c>
      <c r="E133" s="1233" t="s">
        <v>913</v>
      </c>
      <c r="F133" s="1233" t="s">
        <v>505</v>
      </c>
      <c r="G133" s="1234">
        <v>1</v>
      </c>
      <c r="H133" s="765" t="s">
        <v>625</v>
      </c>
      <c r="I133" s="765">
        <v>273546.150452951</v>
      </c>
      <c r="J133" s="772">
        <v>31.059733046303</v>
      </c>
      <c r="K133" s="497">
        <v>0.11</v>
      </c>
      <c r="L133" s="772">
        <v>765.429766568693</v>
      </c>
      <c r="M133" s="772">
        <v>84.1972743225562</v>
      </c>
      <c r="N133" s="144">
        <v>849.627040891249</v>
      </c>
      <c r="O133" s="144">
        <v>41.7732946994075</v>
      </c>
      <c r="P133" s="144">
        <v>849.627040891249</v>
      </c>
    </row>
    <row r="134" s="168" customFormat="1" customHeight="1" outlineLevel="3" spans="1:16">
      <c r="A134" s="456"/>
      <c r="B134" s="786" t="s">
        <v>914</v>
      </c>
      <c r="C134" s="612"/>
      <c r="D134" s="1252" t="s">
        <v>915</v>
      </c>
      <c r="E134" s="1233"/>
      <c r="F134" s="1233" t="s">
        <v>601</v>
      </c>
      <c r="G134" s="1234">
        <v>1</v>
      </c>
      <c r="H134" s="765" t="s">
        <v>625</v>
      </c>
      <c r="I134" s="765">
        <v>1718</v>
      </c>
      <c r="J134" s="772">
        <v>2612.71749048233</v>
      </c>
      <c r="K134" s="497">
        <v>0.11</v>
      </c>
      <c r="L134" s="772">
        <v>448.864864864865</v>
      </c>
      <c r="M134" s="772">
        <v>49.3751351351351</v>
      </c>
      <c r="N134" s="144">
        <v>498.24</v>
      </c>
      <c r="O134" s="144">
        <v>24.496779586017</v>
      </c>
      <c r="P134" s="650">
        <v>498.24</v>
      </c>
    </row>
    <row r="135" s="168" customFormat="1" customHeight="1" outlineLevel="3" spans="1:16">
      <c r="A135" s="456"/>
      <c r="B135" s="786" t="s">
        <v>916</v>
      </c>
      <c r="C135" s="612"/>
      <c r="D135" s="1252" t="s">
        <v>917</v>
      </c>
      <c r="E135" s="1233"/>
      <c r="F135" s="1233" t="s">
        <v>601</v>
      </c>
      <c r="G135" s="1234">
        <v>1</v>
      </c>
      <c r="H135" s="765" t="s">
        <v>625</v>
      </c>
      <c r="I135" s="765">
        <v>1718</v>
      </c>
      <c r="J135" s="772">
        <v>630.63</v>
      </c>
      <c r="K135" s="497">
        <v>0.11</v>
      </c>
      <c r="L135" s="772">
        <v>108.342234</v>
      </c>
      <c r="M135" s="772">
        <v>11.91764574</v>
      </c>
      <c r="N135" s="144">
        <v>120.25987974</v>
      </c>
      <c r="O135" s="144">
        <v>5.91277249323959</v>
      </c>
      <c r="P135" s="650">
        <v>120.25987974</v>
      </c>
    </row>
    <row r="136" s="168" customFormat="1" customHeight="1" outlineLevel="3" spans="1:16">
      <c r="A136" s="456"/>
      <c r="B136" s="786" t="s">
        <v>918</v>
      </c>
      <c r="C136" s="612"/>
      <c r="D136" s="1252" t="s">
        <v>919</v>
      </c>
      <c r="E136" s="1233"/>
      <c r="F136" s="1233" t="s">
        <v>601</v>
      </c>
      <c r="G136" s="1234">
        <v>1</v>
      </c>
      <c r="H136" s="765" t="s">
        <v>625</v>
      </c>
      <c r="I136" s="765">
        <v>1718</v>
      </c>
      <c r="J136" s="772">
        <v>495.5</v>
      </c>
      <c r="K136" s="497">
        <v>0.11</v>
      </c>
      <c r="L136" s="772">
        <v>85.1269</v>
      </c>
      <c r="M136" s="772">
        <v>9.363959</v>
      </c>
      <c r="N136" s="144">
        <v>94.490859</v>
      </c>
      <c r="O136" s="144">
        <v>4.64579669600275</v>
      </c>
      <c r="P136" s="650">
        <v>94.490859</v>
      </c>
    </row>
    <row r="137" s="168" customFormat="1" customHeight="1" outlineLevel="3" spans="1:16">
      <c r="A137" s="456"/>
      <c r="B137" s="786" t="s">
        <v>920</v>
      </c>
      <c r="C137" s="612"/>
      <c r="D137" s="1252" t="s">
        <v>921</v>
      </c>
      <c r="E137" s="1233"/>
      <c r="F137" s="1233" t="s">
        <v>505</v>
      </c>
      <c r="G137" s="1234">
        <v>1</v>
      </c>
      <c r="H137" s="765" t="s">
        <v>625</v>
      </c>
      <c r="I137" s="765">
        <v>273546.150452951</v>
      </c>
      <c r="J137" s="772">
        <v>4.5</v>
      </c>
      <c r="K137" s="497">
        <v>0.11</v>
      </c>
      <c r="L137" s="772">
        <v>123.095767703828</v>
      </c>
      <c r="M137" s="772">
        <v>13.5405344474211</v>
      </c>
      <c r="N137" s="144">
        <v>136.636302151249</v>
      </c>
      <c r="O137" s="144">
        <v>6.71794592414815</v>
      </c>
      <c r="P137" s="650">
        <v>136.636302151249</v>
      </c>
    </row>
    <row r="138" s="168" customFormat="1" customHeight="1" outlineLevel="3" spans="1:16">
      <c r="A138" s="456"/>
      <c r="B138" s="786" t="s">
        <v>922</v>
      </c>
      <c r="C138" s="612" t="s">
        <v>622</v>
      </c>
      <c r="D138" s="1252" t="s">
        <v>923</v>
      </c>
      <c r="E138" s="1254" t="s">
        <v>913</v>
      </c>
      <c r="F138" s="1233" t="s">
        <v>505</v>
      </c>
      <c r="G138" s="1234"/>
      <c r="H138" s="765"/>
      <c r="I138" s="765">
        <v>1</v>
      </c>
      <c r="J138" s="772"/>
      <c r="K138" s="497">
        <v>0.11</v>
      </c>
      <c r="L138" s="772">
        <v>0</v>
      </c>
      <c r="M138" s="772">
        <v>0</v>
      </c>
      <c r="N138" s="144">
        <v>0</v>
      </c>
      <c r="O138" s="144">
        <v>0</v>
      </c>
      <c r="P138" s="144">
        <v>0</v>
      </c>
    </row>
    <row r="139" s="168" customFormat="1" customHeight="1" outlineLevel="2" spans="1:16">
      <c r="A139" s="456"/>
      <c r="B139" s="786" t="s">
        <v>924</v>
      </c>
      <c r="C139" s="787" t="s">
        <v>778</v>
      </c>
      <c r="D139" s="763" t="s">
        <v>925</v>
      </c>
      <c r="E139" s="766"/>
      <c r="F139" s="290"/>
      <c r="G139" s="475"/>
      <c r="H139" s="301"/>
      <c r="I139" s="301"/>
      <c r="J139" s="776"/>
      <c r="K139" s="497"/>
      <c r="L139" s="144">
        <v>5618.78579308765</v>
      </c>
      <c r="M139" s="144">
        <v>618.066437239641</v>
      </c>
      <c r="N139" s="144">
        <v>6236.85223032729</v>
      </c>
      <c r="O139" s="144">
        <v>306.644979120276</v>
      </c>
      <c r="P139" s="144">
        <v>6236.85223032729</v>
      </c>
    </row>
    <row r="140" s="168" customFormat="1" customHeight="1" outlineLevel="3" spans="1:16">
      <c r="A140" s="456"/>
      <c r="B140" s="786" t="s">
        <v>926</v>
      </c>
      <c r="C140" s="612" t="s">
        <v>622</v>
      </c>
      <c r="D140" s="602" t="s">
        <v>927</v>
      </c>
      <c r="E140" s="1255" t="s">
        <v>928</v>
      </c>
      <c r="F140" s="1233" t="s">
        <v>505</v>
      </c>
      <c r="G140" s="1234">
        <v>1</v>
      </c>
      <c r="H140" s="765" t="s">
        <v>625</v>
      </c>
      <c r="I140" s="765">
        <v>273546.150452951</v>
      </c>
      <c r="J140" s="772">
        <v>205.405405405405</v>
      </c>
      <c r="K140" s="497">
        <v>0.11</v>
      </c>
      <c r="L140" s="772">
        <v>5618.78579308765</v>
      </c>
      <c r="M140" s="772">
        <v>618.066437239641</v>
      </c>
      <c r="N140" s="144">
        <v>6236.85223032729</v>
      </c>
      <c r="O140" s="144">
        <v>306.644979120276</v>
      </c>
      <c r="P140" s="144">
        <v>6236.85223032729</v>
      </c>
    </row>
    <row r="141" s="168" customFormat="1" customHeight="1" outlineLevel="3" spans="1:16">
      <c r="A141" s="456"/>
      <c r="B141" s="786" t="s">
        <v>929</v>
      </c>
      <c r="C141" s="612" t="s">
        <v>622</v>
      </c>
      <c r="D141" s="602" t="s">
        <v>930</v>
      </c>
      <c r="E141" s="1255" t="s">
        <v>931</v>
      </c>
      <c r="F141" s="1233" t="s">
        <v>505</v>
      </c>
      <c r="G141" s="1234"/>
      <c r="H141" s="765" t="s">
        <v>625</v>
      </c>
      <c r="I141" s="765">
        <v>273546.150452951</v>
      </c>
      <c r="J141" s="772"/>
      <c r="K141" s="497">
        <v>0.11</v>
      </c>
      <c r="L141" s="772">
        <v>0</v>
      </c>
      <c r="M141" s="772">
        <v>0</v>
      </c>
      <c r="N141" s="144">
        <v>0</v>
      </c>
      <c r="O141" s="144">
        <v>0</v>
      </c>
      <c r="P141" s="144">
        <v>0</v>
      </c>
    </row>
    <row r="142" s="168" customFormat="1" customHeight="1" outlineLevel="3" spans="1:16">
      <c r="A142" s="456"/>
      <c r="B142" s="786" t="s">
        <v>932</v>
      </c>
      <c r="C142" s="612" t="s">
        <v>622</v>
      </c>
      <c r="D142" s="602" t="s">
        <v>933</v>
      </c>
      <c r="E142" s="1256" t="s">
        <v>934</v>
      </c>
      <c r="F142" s="1233" t="s">
        <v>505</v>
      </c>
      <c r="G142" s="1234"/>
      <c r="H142" s="765" t="s">
        <v>625</v>
      </c>
      <c r="I142" s="765">
        <v>273546.150452951</v>
      </c>
      <c r="J142" s="772"/>
      <c r="K142" s="497">
        <v>0.11</v>
      </c>
      <c r="L142" s="772">
        <v>0</v>
      </c>
      <c r="M142" s="772">
        <v>0</v>
      </c>
      <c r="N142" s="144">
        <v>0</v>
      </c>
      <c r="O142" s="144">
        <v>0</v>
      </c>
      <c r="P142" s="144">
        <v>0</v>
      </c>
    </row>
    <row r="143" s="168" customFormat="1" customHeight="1" outlineLevel="3" spans="1:16">
      <c r="A143" s="456"/>
      <c r="B143" s="786" t="s">
        <v>935</v>
      </c>
      <c r="C143" s="612" t="s">
        <v>622</v>
      </c>
      <c r="D143" s="602" t="s">
        <v>936</v>
      </c>
      <c r="E143" s="1257" t="s">
        <v>928</v>
      </c>
      <c r="F143" s="1233" t="s">
        <v>167</v>
      </c>
      <c r="G143" s="1234"/>
      <c r="H143" s="765" t="s">
        <v>625</v>
      </c>
      <c r="I143" s="765">
        <v>65262.6</v>
      </c>
      <c r="J143" s="772"/>
      <c r="K143" s="497">
        <v>0.11</v>
      </c>
      <c r="L143" s="772">
        <v>0</v>
      </c>
      <c r="M143" s="772">
        <v>0</v>
      </c>
      <c r="N143" s="144">
        <v>0</v>
      </c>
      <c r="O143" s="144">
        <v>0</v>
      </c>
      <c r="P143" s="1250">
        <v>0</v>
      </c>
    </row>
    <row r="144" s="168" customFormat="1" customHeight="1" outlineLevel="3" spans="1:16">
      <c r="A144" s="456"/>
      <c r="B144" s="786" t="s">
        <v>937</v>
      </c>
      <c r="C144" s="612" t="s">
        <v>622</v>
      </c>
      <c r="D144" s="602" t="s">
        <v>938</v>
      </c>
      <c r="E144" s="1257" t="s">
        <v>928</v>
      </c>
      <c r="F144" s="1233" t="s">
        <v>167</v>
      </c>
      <c r="G144" s="1234"/>
      <c r="H144" s="765" t="s">
        <v>625</v>
      </c>
      <c r="I144" s="765">
        <v>65262.6</v>
      </c>
      <c r="J144" s="772"/>
      <c r="K144" s="497">
        <v>0.11</v>
      </c>
      <c r="L144" s="772">
        <v>0</v>
      </c>
      <c r="M144" s="772">
        <v>0</v>
      </c>
      <c r="N144" s="545">
        <v>0</v>
      </c>
      <c r="O144" s="645">
        <v>0</v>
      </c>
      <c r="P144" s="770">
        <v>0</v>
      </c>
    </row>
    <row r="145" s="168" customFormat="1" customHeight="1" outlineLevel="3" spans="1:16">
      <c r="A145" s="456"/>
      <c r="B145" s="786" t="s">
        <v>939</v>
      </c>
      <c r="C145" s="612" t="s">
        <v>622</v>
      </c>
      <c r="D145" s="602" t="s">
        <v>940</v>
      </c>
      <c r="E145" s="1257" t="s">
        <v>928</v>
      </c>
      <c r="F145" s="1233" t="s">
        <v>167</v>
      </c>
      <c r="G145" s="1234"/>
      <c r="H145" s="765" t="s">
        <v>625</v>
      </c>
      <c r="I145" s="765">
        <v>65262.6</v>
      </c>
      <c r="J145" s="772"/>
      <c r="K145" s="497">
        <v>0.11</v>
      </c>
      <c r="L145" s="772">
        <v>0</v>
      </c>
      <c r="M145" s="772">
        <v>0</v>
      </c>
      <c r="N145" s="545">
        <v>0</v>
      </c>
      <c r="O145" s="645">
        <v>0</v>
      </c>
      <c r="P145" s="770">
        <v>0</v>
      </c>
    </row>
    <row r="146" s="1163" customFormat="1" customHeight="1" outlineLevel="3" collapsed="1" spans="1:16">
      <c r="A146" s="1179"/>
      <c r="B146" s="786" t="s">
        <v>941</v>
      </c>
      <c r="C146" s="612" t="s">
        <v>622</v>
      </c>
      <c r="D146" s="602" t="s">
        <v>942</v>
      </c>
      <c r="E146" s="1233" t="s">
        <v>943</v>
      </c>
      <c r="F146" s="1233" t="s">
        <v>167</v>
      </c>
      <c r="G146" s="1234"/>
      <c r="H146" s="765" t="s">
        <v>625</v>
      </c>
      <c r="I146" s="765">
        <v>65262.6</v>
      </c>
      <c r="J146" s="772"/>
      <c r="K146" s="497">
        <v>0.17</v>
      </c>
      <c r="L146" s="772">
        <v>0</v>
      </c>
      <c r="M146" s="772">
        <v>0</v>
      </c>
      <c r="N146" s="1204">
        <v>0</v>
      </c>
      <c r="O146" s="975">
        <v>0</v>
      </c>
      <c r="P146" s="975">
        <v>0</v>
      </c>
    </row>
    <row r="147" s="168" customFormat="1" customHeight="1" outlineLevel="3" collapsed="1" spans="1:16">
      <c r="A147" s="456"/>
      <c r="B147" s="786" t="s">
        <v>944</v>
      </c>
      <c r="C147" s="612" t="s">
        <v>622</v>
      </c>
      <c r="D147" s="602" t="s">
        <v>945</v>
      </c>
      <c r="E147" s="1255" t="s">
        <v>774</v>
      </c>
      <c r="F147" s="1233" t="s">
        <v>167</v>
      </c>
      <c r="G147" s="1234"/>
      <c r="H147" s="765" t="s">
        <v>625</v>
      </c>
      <c r="I147" s="765">
        <v>65262.6</v>
      </c>
      <c r="J147" s="772"/>
      <c r="K147" s="497">
        <v>0.11</v>
      </c>
      <c r="L147" s="772">
        <v>0</v>
      </c>
      <c r="M147" s="772">
        <v>0</v>
      </c>
      <c r="N147" s="545">
        <v>0</v>
      </c>
      <c r="O147" s="645">
        <v>0</v>
      </c>
      <c r="P147" s="645">
        <v>0</v>
      </c>
    </row>
    <row r="148" customHeight="1" outlineLevel="1" collapsed="1" spans="1:20">
      <c r="A148" s="581"/>
      <c r="B148" s="1817" t="s">
        <v>543</v>
      </c>
      <c r="C148" s="596">
        <v>4</v>
      </c>
      <c r="D148" s="1230" t="s">
        <v>544</v>
      </c>
      <c r="E148" s="506" t="s">
        <v>774</v>
      </c>
      <c r="F148" s="1231" t="s">
        <v>505</v>
      </c>
      <c r="G148" s="770">
        <v>1</v>
      </c>
      <c r="H148" s="762" t="s">
        <v>946</v>
      </c>
      <c r="I148" s="769">
        <v>273546.150452951</v>
      </c>
      <c r="J148" s="1261">
        <v>150</v>
      </c>
      <c r="K148" s="1249"/>
      <c r="L148" s="545">
        <v>4103.19225679427</v>
      </c>
      <c r="M148" s="545">
        <v>0</v>
      </c>
      <c r="N148" s="545">
        <v>4103.19225679427</v>
      </c>
      <c r="O148" s="645">
        <v>201.740117842287</v>
      </c>
      <c r="P148" s="645">
        <v>4103.19225679427</v>
      </c>
      <c r="R148" s="580"/>
      <c r="S148" s="580"/>
      <c r="T148" s="580"/>
    </row>
    <row r="149" customHeight="1" outlineLevel="1" collapsed="1" spans="1:20">
      <c r="A149" s="581"/>
      <c r="B149" s="1817" t="s">
        <v>545</v>
      </c>
      <c r="C149" s="596">
        <v>5</v>
      </c>
      <c r="D149" s="1230" t="s">
        <v>947</v>
      </c>
      <c r="E149" s="506"/>
      <c r="F149" s="1231" t="s">
        <v>505</v>
      </c>
      <c r="G149" s="770">
        <v>1</v>
      </c>
      <c r="H149" s="762"/>
      <c r="I149" s="769"/>
      <c r="J149" s="1249"/>
      <c r="K149" s="1249">
        <v>0</v>
      </c>
      <c r="L149" s="545"/>
      <c r="M149" s="545">
        <v>0</v>
      </c>
      <c r="N149" s="545">
        <v>0</v>
      </c>
      <c r="O149" s="645">
        <v>0</v>
      </c>
      <c r="P149" s="645">
        <v>0</v>
      </c>
      <c r="R149" s="580"/>
      <c r="S149" s="580"/>
      <c r="T149" s="580"/>
    </row>
    <row r="150" s="1163" customFormat="1" ht="24.75" customHeight="1" spans="1:16">
      <c r="A150" s="1179"/>
      <c r="B150" s="1180" t="s">
        <v>948</v>
      </c>
      <c r="C150" s="593" t="s">
        <v>557</v>
      </c>
      <c r="D150" s="468" t="s">
        <v>484</v>
      </c>
      <c r="E150" s="469"/>
      <c r="F150" s="1181"/>
      <c r="G150" s="1182"/>
      <c r="H150" s="920"/>
      <c r="I150" s="973"/>
      <c r="J150" s="1235"/>
      <c r="K150" s="1235"/>
      <c r="L150" s="1204">
        <v>2547.97655591994</v>
      </c>
      <c r="M150" s="1204">
        <v>303.350056452336</v>
      </c>
      <c r="N150" s="1204">
        <v>2851.32661237228</v>
      </c>
      <c r="O150" s="1204">
        <v>140.190108283214</v>
      </c>
      <c r="P150" s="975">
        <v>2851.32661237228</v>
      </c>
    </row>
    <row r="151" customHeight="1" outlineLevel="1" spans="1:20">
      <c r="A151" s="581"/>
      <c r="B151" s="1817" t="s">
        <v>558</v>
      </c>
      <c r="C151" s="596">
        <v>1</v>
      </c>
      <c r="D151" s="1230" t="s">
        <v>559</v>
      </c>
      <c r="E151" s="506"/>
      <c r="F151" s="1231"/>
      <c r="G151" s="770"/>
      <c r="H151" s="762"/>
      <c r="I151" s="769"/>
      <c r="J151" s="1249"/>
      <c r="K151" s="1249"/>
      <c r="L151" s="545">
        <v>0</v>
      </c>
      <c r="M151" s="545">
        <v>0</v>
      </c>
      <c r="N151" s="545">
        <v>0</v>
      </c>
      <c r="O151" s="645">
        <v>0</v>
      </c>
      <c r="P151" s="645">
        <v>0</v>
      </c>
      <c r="R151" s="580"/>
      <c r="S151" s="580"/>
      <c r="T151" s="580"/>
    </row>
    <row r="152" s="168" customFormat="1" customHeight="1" outlineLevel="2" spans="1:16">
      <c r="A152" s="456"/>
      <c r="B152" s="786" t="s">
        <v>949</v>
      </c>
      <c r="C152" s="787" t="s">
        <v>619</v>
      </c>
      <c r="D152" s="763" t="s">
        <v>950</v>
      </c>
      <c r="E152" s="370"/>
      <c r="F152" s="370" t="s">
        <v>505</v>
      </c>
      <c r="G152" s="475"/>
      <c r="H152" s="375"/>
      <c r="I152" s="301"/>
      <c r="J152" s="776"/>
      <c r="K152" s="776"/>
      <c r="L152" s="144">
        <v>0</v>
      </c>
      <c r="M152" s="144">
        <v>0</v>
      </c>
      <c r="N152" s="144">
        <v>0</v>
      </c>
      <c r="O152" s="144">
        <v>0</v>
      </c>
      <c r="P152" s="788">
        <v>0</v>
      </c>
    </row>
    <row r="153" s="168" customFormat="1" customHeight="1" outlineLevel="3" spans="1:16">
      <c r="A153" s="456"/>
      <c r="B153" s="786" t="s">
        <v>951</v>
      </c>
      <c r="C153" s="612" t="s">
        <v>622</v>
      </c>
      <c r="D153" s="1258" t="s">
        <v>952</v>
      </c>
      <c r="E153" s="370" t="s">
        <v>774</v>
      </c>
      <c r="F153" s="370" t="s">
        <v>953</v>
      </c>
      <c r="G153" s="475">
        <v>1</v>
      </c>
      <c r="H153" s="375" t="s">
        <v>655</v>
      </c>
      <c r="I153" s="301">
        <v>1200</v>
      </c>
      <c r="J153" s="776"/>
      <c r="K153" s="497">
        <v>0.11</v>
      </c>
      <c r="L153" s="776">
        <v>0</v>
      </c>
      <c r="M153" s="776">
        <v>0</v>
      </c>
      <c r="N153" s="144">
        <v>0</v>
      </c>
      <c r="O153" s="144">
        <v>0</v>
      </c>
      <c r="P153" s="788">
        <v>0</v>
      </c>
    </row>
    <row r="154" s="168" customFormat="1" customHeight="1" outlineLevel="3" spans="1:16">
      <c r="A154" s="456"/>
      <c r="B154" s="786" t="s">
        <v>954</v>
      </c>
      <c r="C154" s="612" t="s">
        <v>622</v>
      </c>
      <c r="D154" s="1258" t="s">
        <v>955</v>
      </c>
      <c r="E154" s="370" t="s">
        <v>956</v>
      </c>
      <c r="F154" s="370" t="s">
        <v>953</v>
      </c>
      <c r="G154" s="475">
        <v>1</v>
      </c>
      <c r="H154" s="375" t="s">
        <v>655</v>
      </c>
      <c r="I154" s="301">
        <v>1200</v>
      </c>
      <c r="J154" s="776"/>
      <c r="K154" s="497">
        <v>0.11</v>
      </c>
      <c r="L154" s="776">
        <v>0</v>
      </c>
      <c r="M154" s="776">
        <v>0</v>
      </c>
      <c r="N154" s="144">
        <v>0</v>
      </c>
      <c r="O154" s="144">
        <v>0</v>
      </c>
      <c r="P154" s="788">
        <v>0</v>
      </c>
    </row>
    <row r="155" s="168" customFormat="1" customHeight="1" outlineLevel="3" spans="1:16">
      <c r="A155" s="456"/>
      <c r="B155" s="786" t="s">
        <v>957</v>
      </c>
      <c r="C155" s="612" t="s">
        <v>622</v>
      </c>
      <c r="D155" s="1258" t="s">
        <v>958</v>
      </c>
      <c r="E155" s="290" t="s">
        <v>959</v>
      </c>
      <c r="F155" s="370" t="s">
        <v>953</v>
      </c>
      <c r="G155" s="475">
        <v>1</v>
      </c>
      <c r="H155" s="375" t="s">
        <v>655</v>
      </c>
      <c r="I155" s="301">
        <v>1200</v>
      </c>
      <c r="J155" s="776"/>
      <c r="K155" s="497">
        <v>0.17</v>
      </c>
      <c r="L155" s="776">
        <v>0</v>
      </c>
      <c r="M155" s="776">
        <v>0</v>
      </c>
      <c r="N155" s="144">
        <v>0</v>
      </c>
      <c r="O155" s="144">
        <v>0</v>
      </c>
      <c r="P155" s="788">
        <v>0</v>
      </c>
    </row>
    <row r="156" s="168" customFormat="1" customHeight="1" outlineLevel="2" spans="1:16">
      <c r="A156" s="456"/>
      <c r="B156" s="786" t="s">
        <v>960</v>
      </c>
      <c r="C156" s="787" t="s">
        <v>657</v>
      </c>
      <c r="D156" s="763" t="s">
        <v>961</v>
      </c>
      <c r="E156" s="290"/>
      <c r="F156" s="290"/>
      <c r="G156" s="475"/>
      <c r="H156" s="375"/>
      <c r="I156" s="301"/>
      <c r="J156" s="776"/>
      <c r="K156" s="776"/>
      <c r="L156" s="144">
        <v>0</v>
      </c>
      <c r="M156" s="144">
        <v>0</v>
      </c>
      <c r="N156" s="144">
        <v>0</v>
      </c>
      <c r="O156" s="144">
        <v>0</v>
      </c>
      <c r="P156" s="788">
        <v>0</v>
      </c>
    </row>
    <row r="157" s="168" customFormat="1" customHeight="1" outlineLevel="3" spans="1:16">
      <c r="A157" s="456"/>
      <c r="B157" s="786" t="s">
        <v>962</v>
      </c>
      <c r="C157" s="612" t="s">
        <v>622</v>
      </c>
      <c r="D157" s="1258" t="s">
        <v>963</v>
      </c>
      <c r="E157" s="290" t="s">
        <v>774</v>
      </c>
      <c r="F157" s="290"/>
      <c r="G157" s="475">
        <v>1</v>
      </c>
      <c r="H157" s="375" t="s">
        <v>655</v>
      </c>
      <c r="I157" s="301"/>
      <c r="J157" s="776"/>
      <c r="K157" s="497">
        <v>0.11</v>
      </c>
      <c r="L157" s="776">
        <v>0</v>
      </c>
      <c r="M157" s="776">
        <v>0</v>
      </c>
      <c r="N157" s="144">
        <v>0</v>
      </c>
      <c r="O157" s="144">
        <v>0</v>
      </c>
      <c r="P157" s="788">
        <v>0</v>
      </c>
    </row>
    <row r="158" s="168" customFormat="1" customHeight="1" outlineLevel="3" spans="1:16">
      <c r="A158" s="456"/>
      <c r="B158" s="786" t="s">
        <v>964</v>
      </c>
      <c r="C158" s="612" t="s">
        <v>622</v>
      </c>
      <c r="D158" s="1258" t="s">
        <v>965</v>
      </c>
      <c r="E158" s="290"/>
      <c r="F158" s="290"/>
      <c r="G158" s="475">
        <v>1</v>
      </c>
      <c r="H158" s="375" t="s">
        <v>655</v>
      </c>
      <c r="I158" s="301"/>
      <c r="J158" s="776"/>
      <c r="K158" s="497">
        <v>0.11</v>
      </c>
      <c r="L158" s="776">
        <v>0</v>
      </c>
      <c r="M158" s="776">
        <v>0</v>
      </c>
      <c r="N158" s="144">
        <v>0</v>
      </c>
      <c r="O158" s="144">
        <v>0</v>
      </c>
      <c r="P158" s="788">
        <v>0</v>
      </c>
    </row>
    <row r="159" s="168" customFormat="1" customHeight="1" outlineLevel="3" spans="1:16">
      <c r="A159" s="456"/>
      <c r="B159" s="786" t="s">
        <v>966</v>
      </c>
      <c r="C159" s="612" t="s">
        <v>622</v>
      </c>
      <c r="D159" s="1258" t="s">
        <v>967</v>
      </c>
      <c r="E159" s="370"/>
      <c r="F159" s="290"/>
      <c r="G159" s="475">
        <v>1</v>
      </c>
      <c r="H159" s="375" t="s">
        <v>655</v>
      </c>
      <c r="I159" s="301"/>
      <c r="J159" s="776"/>
      <c r="K159" s="497">
        <v>0.11</v>
      </c>
      <c r="L159" s="776">
        <v>0</v>
      </c>
      <c r="M159" s="776">
        <v>0</v>
      </c>
      <c r="N159" s="144">
        <v>0</v>
      </c>
      <c r="O159" s="144"/>
      <c r="P159" s="788"/>
    </row>
    <row r="160" s="168" customFormat="1" customHeight="1" outlineLevel="2" spans="1:16">
      <c r="A160" s="456"/>
      <c r="B160" s="786" t="s">
        <v>968</v>
      </c>
      <c r="C160" s="787" t="s">
        <v>762</v>
      </c>
      <c r="D160" s="763" t="s">
        <v>969</v>
      </c>
      <c r="E160" s="370"/>
      <c r="F160" s="370"/>
      <c r="G160" s="475">
        <v>1</v>
      </c>
      <c r="H160" s="375"/>
      <c r="I160" s="301"/>
      <c r="J160" s="776"/>
      <c r="K160" s="497">
        <v>0.11</v>
      </c>
      <c r="L160" s="776">
        <v>0</v>
      </c>
      <c r="M160" s="776">
        <v>0</v>
      </c>
      <c r="N160" s="144">
        <v>0</v>
      </c>
      <c r="O160" s="144"/>
      <c r="P160" s="788"/>
    </row>
    <row r="161" s="168" customFormat="1" customHeight="1" outlineLevel="2" spans="1:16">
      <c r="A161" s="456"/>
      <c r="B161" s="786" t="s">
        <v>970</v>
      </c>
      <c r="C161" s="787" t="s">
        <v>778</v>
      </c>
      <c r="D161" s="763" t="s">
        <v>971</v>
      </c>
      <c r="E161" s="370"/>
      <c r="F161" s="370"/>
      <c r="G161" s="475">
        <v>1</v>
      </c>
      <c r="H161" s="375"/>
      <c r="I161" s="301"/>
      <c r="J161" s="776"/>
      <c r="K161" s="497">
        <v>0.11</v>
      </c>
      <c r="L161" s="776">
        <v>0</v>
      </c>
      <c r="M161" s="776">
        <v>0</v>
      </c>
      <c r="N161" s="144">
        <v>0</v>
      </c>
      <c r="O161" s="144">
        <v>0</v>
      </c>
      <c r="P161" s="788">
        <v>0</v>
      </c>
    </row>
    <row r="162" s="168" customFormat="1" customHeight="1" outlineLevel="2" spans="1:16">
      <c r="A162" s="456"/>
      <c r="B162" s="786" t="s">
        <v>972</v>
      </c>
      <c r="C162" s="787" t="s">
        <v>781</v>
      </c>
      <c r="D162" s="763" t="s">
        <v>973</v>
      </c>
      <c r="E162" s="370"/>
      <c r="F162" s="370"/>
      <c r="G162" s="475">
        <v>1</v>
      </c>
      <c r="H162" s="375"/>
      <c r="I162" s="301"/>
      <c r="J162" s="776"/>
      <c r="K162" s="497">
        <v>0.11</v>
      </c>
      <c r="L162" s="776">
        <v>0</v>
      </c>
      <c r="M162" s="776">
        <v>0</v>
      </c>
      <c r="N162" s="144">
        <v>0</v>
      </c>
      <c r="O162" s="144">
        <v>0</v>
      </c>
      <c r="P162" s="788">
        <v>0</v>
      </c>
    </row>
    <row r="163" s="168" customFormat="1" customHeight="1" outlineLevel="2" spans="1:16">
      <c r="A163" s="456"/>
      <c r="B163" s="786" t="s">
        <v>974</v>
      </c>
      <c r="C163" s="787" t="s">
        <v>788</v>
      </c>
      <c r="D163" s="763" t="s">
        <v>975</v>
      </c>
      <c r="E163" s="290"/>
      <c r="F163" s="370"/>
      <c r="G163" s="475"/>
      <c r="H163" s="375"/>
      <c r="I163" s="301"/>
      <c r="J163" s="776"/>
      <c r="K163" s="497"/>
      <c r="L163" s="144">
        <v>0</v>
      </c>
      <c r="M163" s="144">
        <v>0</v>
      </c>
      <c r="N163" s="144">
        <v>0</v>
      </c>
      <c r="O163" s="144">
        <v>0</v>
      </c>
      <c r="P163" s="788">
        <v>0</v>
      </c>
    </row>
    <row r="164" s="168" customFormat="1" customHeight="1" outlineLevel="3" spans="1:16">
      <c r="A164" s="456"/>
      <c r="B164" s="786" t="s">
        <v>976</v>
      </c>
      <c r="C164" s="612" t="s">
        <v>622</v>
      </c>
      <c r="D164" s="712" t="s">
        <v>977</v>
      </c>
      <c r="E164" s="712" t="s">
        <v>774</v>
      </c>
      <c r="F164" s="601"/>
      <c r="G164" s="475">
        <v>1</v>
      </c>
      <c r="H164" s="375" t="s">
        <v>655</v>
      </c>
      <c r="I164" s="301">
        <v>4560.65</v>
      </c>
      <c r="J164" s="776"/>
      <c r="K164" s="497">
        <v>0.11</v>
      </c>
      <c r="L164" s="776">
        <v>0</v>
      </c>
      <c r="M164" s="1243">
        <v>0</v>
      </c>
      <c r="N164" s="144">
        <v>0</v>
      </c>
      <c r="O164" s="144">
        <v>0</v>
      </c>
      <c r="P164" s="788">
        <v>0</v>
      </c>
    </row>
    <row r="165" s="168" customFormat="1" customHeight="1" outlineLevel="3" spans="1:16">
      <c r="A165" s="456"/>
      <c r="B165" s="786" t="s">
        <v>978</v>
      </c>
      <c r="C165" s="612" t="s">
        <v>622</v>
      </c>
      <c r="D165" s="712" t="s">
        <v>979</v>
      </c>
      <c r="E165" s="712" t="s">
        <v>774</v>
      </c>
      <c r="F165" s="601"/>
      <c r="G165" s="475">
        <v>1</v>
      </c>
      <c r="H165" s="375" t="s">
        <v>655</v>
      </c>
      <c r="I165" s="301">
        <v>4560.65</v>
      </c>
      <c r="J165" s="776"/>
      <c r="K165" s="497">
        <v>0.11</v>
      </c>
      <c r="L165" s="776">
        <v>0</v>
      </c>
      <c r="M165" s="1243">
        <v>0</v>
      </c>
      <c r="N165" s="144">
        <v>0</v>
      </c>
      <c r="O165" s="144">
        <v>0</v>
      </c>
      <c r="P165" s="788">
        <v>0</v>
      </c>
    </row>
    <row r="166" s="168" customFormat="1" customHeight="1" outlineLevel="3" spans="1:16">
      <c r="A166" s="456"/>
      <c r="B166" s="786" t="s">
        <v>980</v>
      </c>
      <c r="C166" s="612" t="s">
        <v>622</v>
      </c>
      <c r="D166" s="712" t="s">
        <v>981</v>
      </c>
      <c r="E166" s="712" t="s">
        <v>774</v>
      </c>
      <c r="F166" s="601"/>
      <c r="G166" s="475">
        <v>1</v>
      </c>
      <c r="H166" s="375" t="s">
        <v>655</v>
      </c>
      <c r="I166" s="301">
        <v>4560.65</v>
      </c>
      <c r="J166" s="776"/>
      <c r="K166" s="497">
        <v>0.17</v>
      </c>
      <c r="L166" s="776">
        <v>0</v>
      </c>
      <c r="M166" s="1243">
        <v>0</v>
      </c>
      <c r="N166" s="144">
        <v>0</v>
      </c>
      <c r="O166" s="144">
        <v>0</v>
      </c>
      <c r="P166" s="788">
        <v>0</v>
      </c>
    </row>
    <row r="167" s="168" customFormat="1" customHeight="1" outlineLevel="3" collapsed="1" spans="1:16">
      <c r="A167" s="456"/>
      <c r="B167" s="786" t="s">
        <v>982</v>
      </c>
      <c r="C167" s="612" t="s">
        <v>622</v>
      </c>
      <c r="D167" s="712" t="s">
        <v>983</v>
      </c>
      <c r="E167" s="712" t="s">
        <v>774</v>
      </c>
      <c r="F167" s="601"/>
      <c r="G167" s="475">
        <v>1</v>
      </c>
      <c r="H167" s="375" t="s">
        <v>655</v>
      </c>
      <c r="I167" s="301">
        <v>4560.65</v>
      </c>
      <c r="J167" s="776"/>
      <c r="K167" s="497">
        <v>0.11</v>
      </c>
      <c r="L167" s="776">
        <v>0</v>
      </c>
      <c r="M167" s="600">
        <v>0</v>
      </c>
      <c r="N167" s="545">
        <v>0</v>
      </c>
      <c r="O167" s="645">
        <v>0</v>
      </c>
      <c r="P167" s="645">
        <v>0</v>
      </c>
    </row>
    <row r="168" s="457" customFormat="1" customHeight="1" outlineLevel="2" spans="1:16">
      <c r="A168" s="456"/>
      <c r="B168" s="786" t="s">
        <v>984</v>
      </c>
      <c r="C168" s="787" t="s">
        <v>791</v>
      </c>
      <c r="D168" s="1259" t="s">
        <v>985</v>
      </c>
      <c r="E168" s="290"/>
      <c r="F168" s="290"/>
      <c r="G168" s="475"/>
      <c r="H168" s="301"/>
      <c r="I168" s="301"/>
      <c r="J168" s="776"/>
      <c r="K168" s="776"/>
      <c r="L168" s="144">
        <v>0</v>
      </c>
      <c r="M168" s="144">
        <v>0</v>
      </c>
      <c r="N168" s="144">
        <v>0</v>
      </c>
      <c r="O168" s="144">
        <v>0</v>
      </c>
      <c r="P168" s="144">
        <v>0</v>
      </c>
    </row>
    <row r="169" s="457" customFormat="1" customHeight="1" outlineLevel="3" spans="1:16">
      <c r="A169" s="456"/>
      <c r="B169" s="786" t="s">
        <v>986</v>
      </c>
      <c r="C169" s="612" t="s">
        <v>622</v>
      </c>
      <c r="D169" s="1258" t="s">
        <v>987</v>
      </c>
      <c r="E169" s="290" t="s">
        <v>956</v>
      </c>
      <c r="F169" s="290" t="s">
        <v>988</v>
      </c>
      <c r="G169" s="475">
        <v>1</v>
      </c>
      <c r="H169" s="375" t="s">
        <v>655</v>
      </c>
      <c r="I169" s="301">
        <v>1500</v>
      </c>
      <c r="J169" s="776"/>
      <c r="K169" s="497">
        <v>0.11</v>
      </c>
      <c r="L169" s="776">
        <v>0</v>
      </c>
      <c r="M169" s="776">
        <v>0</v>
      </c>
      <c r="N169" s="144">
        <v>0</v>
      </c>
      <c r="O169" s="144">
        <v>0</v>
      </c>
      <c r="P169" s="144">
        <v>0</v>
      </c>
    </row>
    <row r="170" s="457" customFormat="1" customHeight="1" outlineLevel="2" spans="1:16">
      <c r="A170" s="456"/>
      <c r="B170" s="786" t="s">
        <v>989</v>
      </c>
      <c r="C170" s="787" t="s">
        <v>794</v>
      </c>
      <c r="D170" s="1259" t="s">
        <v>990</v>
      </c>
      <c r="E170" s="370"/>
      <c r="F170" s="290"/>
      <c r="G170" s="475"/>
      <c r="H170" s="301"/>
      <c r="I170" s="301"/>
      <c r="J170" s="776"/>
      <c r="K170" s="776"/>
      <c r="L170" s="776">
        <v>0</v>
      </c>
      <c r="M170" s="776">
        <v>0</v>
      </c>
      <c r="N170" s="144">
        <v>0</v>
      </c>
      <c r="O170" s="144">
        <v>0</v>
      </c>
      <c r="P170" s="144">
        <v>0</v>
      </c>
    </row>
    <row r="171" customHeight="1" outlineLevel="1" spans="1:20">
      <c r="A171" s="581"/>
      <c r="B171" s="1817" t="s">
        <v>560</v>
      </c>
      <c r="C171" s="596">
        <v>2</v>
      </c>
      <c r="D171" s="1230" t="s">
        <v>561</v>
      </c>
      <c r="E171" s="506"/>
      <c r="F171" s="1231"/>
      <c r="G171" s="770"/>
      <c r="H171" s="762"/>
      <c r="I171" s="769"/>
      <c r="J171" s="1249"/>
      <c r="K171" s="1249"/>
      <c r="L171" s="545">
        <v>384.54392168571</v>
      </c>
      <c r="M171" s="545">
        <v>65.3724666865707</v>
      </c>
      <c r="N171" s="545">
        <v>449.916388372281</v>
      </c>
      <c r="O171" s="645">
        <v>22.1208706609116</v>
      </c>
      <c r="P171" s="645">
        <v>449.916388372281</v>
      </c>
      <c r="R171" s="580"/>
      <c r="S171" s="580"/>
      <c r="T171" s="580"/>
    </row>
    <row r="172" s="457" customFormat="1" customHeight="1" outlineLevel="2" spans="1:16">
      <c r="A172" s="456"/>
      <c r="B172" s="786" t="s">
        <v>991</v>
      </c>
      <c r="C172" s="787" t="s">
        <v>619</v>
      </c>
      <c r="D172" s="602" t="s">
        <v>992</v>
      </c>
      <c r="E172" s="370" t="s">
        <v>993</v>
      </c>
      <c r="F172" s="370" t="s">
        <v>994</v>
      </c>
      <c r="G172" s="1234">
        <v>1</v>
      </c>
      <c r="H172" s="765" t="s">
        <v>995</v>
      </c>
      <c r="I172" s="765">
        <v>4</v>
      </c>
      <c r="J172" s="772">
        <v>80000</v>
      </c>
      <c r="K172" s="497">
        <v>0.17</v>
      </c>
      <c r="L172" s="772">
        <v>32</v>
      </c>
      <c r="M172" s="772">
        <v>5.44</v>
      </c>
      <c r="N172" s="144">
        <v>37.44</v>
      </c>
      <c r="O172" s="144">
        <v>1.84079846600128</v>
      </c>
      <c r="P172" s="144">
        <v>37.44</v>
      </c>
    </row>
    <row r="173" s="457" customFormat="1" customHeight="1" outlineLevel="2" spans="1:16">
      <c r="A173" s="456"/>
      <c r="B173" s="786" t="s">
        <v>996</v>
      </c>
      <c r="C173" s="787" t="s">
        <v>657</v>
      </c>
      <c r="D173" s="602" t="s">
        <v>997</v>
      </c>
      <c r="E173" s="370" t="s">
        <v>993</v>
      </c>
      <c r="F173" s="370" t="s">
        <v>399</v>
      </c>
      <c r="G173" s="1234">
        <v>1</v>
      </c>
      <c r="H173" s="765" t="s">
        <v>625</v>
      </c>
      <c r="I173" s="765">
        <v>203390</v>
      </c>
      <c r="J173" s="772">
        <v>10</v>
      </c>
      <c r="K173" s="497">
        <v>0.17</v>
      </c>
      <c r="L173" s="772">
        <v>203.39</v>
      </c>
      <c r="M173" s="772">
        <v>34.5763</v>
      </c>
      <c r="N173" s="144">
        <v>237.9663</v>
      </c>
      <c r="O173" s="144">
        <v>11.7</v>
      </c>
      <c r="P173" s="144">
        <v>237.9663</v>
      </c>
    </row>
    <row r="174" customHeight="1" outlineLevel="2" spans="1:20">
      <c r="A174" s="581"/>
      <c r="B174" s="786" t="s">
        <v>998</v>
      </c>
      <c r="C174" s="787" t="s">
        <v>762</v>
      </c>
      <c r="D174" s="602" t="s">
        <v>999</v>
      </c>
      <c r="E174" s="370" t="s">
        <v>993</v>
      </c>
      <c r="F174" s="370" t="s">
        <v>505</v>
      </c>
      <c r="G174" s="1234">
        <v>1</v>
      </c>
      <c r="H174" s="765" t="s">
        <v>625</v>
      </c>
      <c r="I174" s="765">
        <v>273546.150452951</v>
      </c>
      <c r="J174" s="772">
        <v>3</v>
      </c>
      <c r="K174" s="497">
        <v>0.17</v>
      </c>
      <c r="L174" s="772">
        <v>82.0638451358854</v>
      </c>
      <c r="M174" s="772">
        <v>13.9508536731005</v>
      </c>
      <c r="N174" s="144">
        <v>96.0146988089859</v>
      </c>
      <c r="O174" s="144">
        <v>4.72071875750951</v>
      </c>
      <c r="P174" s="144">
        <v>96.0146988089859</v>
      </c>
      <c r="R174" s="580"/>
      <c r="S174" s="580"/>
      <c r="T174" s="580"/>
    </row>
    <row r="175" s="168" customFormat="1" customHeight="1" outlineLevel="2" collapsed="1" spans="1:16">
      <c r="A175" s="456"/>
      <c r="B175" s="786" t="s">
        <v>1000</v>
      </c>
      <c r="C175" s="787" t="s">
        <v>778</v>
      </c>
      <c r="D175" s="602" t="s">
        <v>1001</v>
      </c>
      <c r="E175" s="370" t="s">
        <v>993</v>
      </c>
      <c r="F175" s="370" t="s">
        <v>505</v>
      </c>
      <c r="G175" s="1234">
        <v>3</v>
      </c>
      <c r="H175" s="765" t="s">
        <v>821</v>
      </c>
      <c r="I175" s="765">
        <v>36</v>
      </c>
      <c r="J175" s="772">
        <v>2500</v>
      </c>
      <c r="K175" s="497">
        <v>0.17</v>
      </c>
      <c r="L175" s="772">
        <v>27</v>
      </c>
      <c r="M175" s="772">
        <v>4.59</v>
      </c>
      <c r="N175" s="545">
        <v>31.59</v>
      </c>
      <c r="O175" s="545">
        <v>1.55317370568858</v>
      </c>
      <c r="P175" s="545">
        <v>31.59</v>
      </c>
    </row>
    <row r="176" customHeight="1" outlineLevel="2" spans="1:20">
      <c r="A176" s="581"/>
      <c r="B176" s="786" t="s">
        <v>1002</v>
      </c>
      <c r="C176" s="787" t="s">
        <v>781</v>
      </c>
      <c r="D176" s="602" t="s">
        <v>1003</v>
      </c>
      <c r="E176" s="370" t="s">
        <v>993</v>
      </c>
      <c r="F176" s="370" t="s">
        <v>505</v>
      </c>
      <c r="G176" s="1234">
        <v>1</v>
      </c>
      <c r="H176" s="765" t="s">
        <v>625</v>
      </c>
      <c r="I176" s="765">
        <v>273546.150452951</v>
      </c>
      <c r="J176" s="772">
        <v>0.3</v>
      </c>
      <c r="K176" s="497">
        <v>0.17</v>
      </c>
      <c r="L176" s="772">
        <v>8.20638451358854</v>
      </c>
      <c r="M176" s="772">
        <v>1.39508536731005</v>
      </c>
      <c r="N176" s="144">
        <v>9.60146988089859</v>
      </c>
      <c r="O176" s="144">
        <v>0.472071875750951</v>
      </c>
      <c r="P176" s="650">
        <v>9.60146988089859</v>
      </c>
      <c r="R176" s="580"/>
      <c r="S176" s="580"/>
      <c r="T176" s="580"/>
    </row>
    <row r="177" s="168" customFormat="1" customHeight="1" outlineLevel="2" spans="1:16">
      <c r="A177" s="456"/>
      <c r="B177" s="786" t="s">
        <v>1004</v>
      </c>
      <c r="C177" s="787" t="s">
        <v>788</v>
      </c>
      <c r="D177" s="602" t="s">
        <v>1005</v>
      </c>
      <c r="E177" s="370" t="s">
        <v>993</v>
      </c>
      <c r="F177" s="370" t="s">
        <v>505</v>
      </c>
      <c r="G177" s="1234">
        <v>1</v>
      </c>
      <c r="H177" s="765" t="s">
        <v>821</v>
      </c>
      <c r="I177" s="765">
        <v>4</v>
      </c>
      <c r="J177" s="772">
        <v>25000</v>
      </c>
      <c r="K177" s="497">
        <v>0.17</v>
      </c>
      <c r="L177" s="772">
        <v>10</v>
      </c>
      <c r="M177" s="772">
        <v>1.7</v>
      </c>
      <c r="N177" s="144">
        <v>11.7</v>
      </c>
      <c r="O177" s="144">
        <v>0.575249520625399</v>
      </c>
      <c r="P177" s="144">
        <v>11.7</v>
      </c>
    </row>
    <row r="178" s="168" customFormat="1" customHeight="1" outlineLevel="2" spans="1:16">
      <c r="A178" s="456"/>
      <c r="B178" s="786" t="s">
        <v>1006</v>
      </c>
      <c r="C178" s="787" t="s">
        <v>791</v>
      </c>
      <c r="D178" s="602" t="s">
        <v>1007</v>
      </c>
      <c r="E178" s="370" t="s">
        <v>993</v>
      </c>
      <c r="F178" s="370" t="s">
        <v>505</v>
      </c>
      <c r="G178" s="1234">
        <v>1</v>
      </c>
      <c r="H178" s="765" t="s">
        <v>625</v>
      </c>
      <c r="I178" s="765">
        <v>273546.150452951</v>
      </c>
      <c r="J178" s="772">
        <v>0.8</v>
      </c>
      <c r="K178" s="497">
        <v>0.17</v>
      </c>
      <c r="L178" s="772">
        <v>21.8836920362361</v>
      </c>
      <c r="M178" s="772">
        <v>3.72022764616014</v>
      </c>
      <c r="N178" s="144">
        <v>25.6039196823962</v>
      </c>
      <c r="O178" s="144">
        <v>1.25885833533587</v>
      </c>
      <c r="P178" s="144">
        <v>25.6039196823962</v>
      </c>
    </row>
    <row r="179" customHeight="1" outlineLevel="1" spans="1:20">
      <c r="A179" s="581"/>
      <c r="B179" s="1817" t="s">
        <v>562</v>
      </c>
      <c r="C179" s="596">
        <v>3</v>
      </c>
      <c r="D179" s="1230" t="s">
        <v>563</v>
      </c>
      <c r="E179" s="506"/>
      <c r="F179" s="1231"/>
      <c r="G179" s="770"/>
      <c r="H179" s="762"/>
      <c r="I179" s="769"/>
      <c r="J179" s="1249"/>
      <c r="K179" s="1249"/>
      <c r="L179" s="545">
        <v>2163.43263423423</v>
      </c>
      <c r="M179" s="545">
        <v>237.977589765766</v>
      </c>
      <c r="N179" s="545">
        <v>2401.410224</v>
      </c>
      <c r="O179" s="645">
        <v>118.069237622302</v>
      </c>
      <c r="P179" s="645">
        <v>2401.410224</v>
      </c>
      <c r="R179" s="580"/>
      <c r="S179" s="580"/>
      <c r="T179" s="580"/>
    </row>
    <row r="180" s="168" customFormat="1" customHeight="1" outlineLevel="2" spans="1:16">
      <c r="A180" s="456"/>
      <c r="B180" s="786" t="s">
        <v>1008</v>
      </c>
      <c r="C180" s="787" t="s">
        <v>619</v>
      </c>
      <c r="D180" s="763" t="s">
        <v>1009</v>
      </c>
      <c r="E180" s="766"/>
      <c r="F180" s="370"/>
      <c r="G180" s="1234"/>
      <c r="H180" s="765"/>
      <c r="I180" s="765"/>
      <c r="J180" s="772"/>
      <c r="K180" s="772"/>
      <c r="L180" s="772">
        <v>2055.5947963964</v>
      </c>
      <c r="M180" s="772">
        <v>226.115427603604</v>
      </c>
      <c r="N180" s="144">
        <v>2281.710224</v>
      </c>
      <c r="O180" s="144">
        <v>112.183992526673</v>
      </c>
      <c r="P180" s="144">
        <v>2281.710224</v>
      </c>
    </row>
    <row r="181" customHeight="1" outlineLevel="3" spans="1:20">
      <c r="A181" s="581"/>
      <c r="B181" s="786" t="s">
        <v>1010</v>
      </c>
      <c r="C181" s="612" t="s">
        <v>622</v>
      </c>
      <c r="D181" s="790" t="s">
        <v>1011</v>
      </c>
      <c r="E181" s="612" t="s">
        <v>956</v>
      </c>
      <c r="F181" s="612"/>
      <c r="G181" s="475">
        <v>1</v>
      </c>
      <c r="H181" s="301" t="s">
        <v>655</v>
      </c>
      <c r="I181" s="301">
        <v>6639.312</v>
      </c>
      <c r="J181" s="1262">
        <v>585.585585585586</v>
      </c>
      <c r="K181" s="497">
        <v>0.11</v>
      </c>
      <c r="L181" s="1263">
        <v>388.788540540541</v>
      </c>
      <c r="M181" s="1263">
        <v>42.7667394594595</v>
      </c>
      <c r="N181" s="144">
        <v>431.55528</v>
      </c>
      <c r="O181" s="144">
        <v>21.2181169182359</v>
      </c>
      <c r="P181" s="144">
        <v>431.55528</v>
      </c>
      <c r="R181" s="580"/>
      <c r="S181" s="580"/>
      <c r="T181" s="580"/>
    </row>
    <row r="182" customHeight="1" outlineLevel="3" spans="1:20">
      <c r="A182" s="581"/>
      <c r="B182" s="786" t="s">
        <v>1012</v>
      </c>
      <c r="C182" s="612" t="s">
        <v>622</v>
      </c>
      <c r="D182" s="790" t="s">
        <v>1013</v>
      </c>
      <c r="E182" s="612" t="s">
        <v>956</v>
      </c>
      <c r="F182" s="612" t="s">
        <v>1014</v>
      </c>
      <c r="G182" s="475">
        <v>1</v>
      </c>
      <c r="H182" s="375" t="s">
        <v>1015</v>
      </c>
      <c r="I182" s="301">
        <v>48688.288</v>
      </c>
      <c r="J182" s="1262">
        <v>342.342342342342</v>
      </c>
      <c r="K182" s="497">
        <v>0.11</v>
      </c>
      <c r="L182" s="1263">
        <v>1666.80625585586</v>
      </c>
      <c r="M182" s="1263">
        <v>183.348688144144</v>
      </c>
      <c r="N182" s="144">
        <v>1850.154944</v>
      </c>
      <c r="O182" s="144">
        <v>90.965875608437</v>
      </c>
      <c r="P182" s="144">
        <v>1850.154944</v>
      </c>
      <c r="R182" s="580"/>
      <c r="S182" s="580"/>
      <c r="T182" s="580"/>
    </row>
    <row r="183" customHeight="1" outlineLevel="3" spans="1:20">
      <c r="A183" s="581"/>
      <c r="B183" s="786" t="s">
        <v>1016</v>
      </c>
      <c r="C183" s="612" t="s">
        <v>622</v>
      </c>
      <c r="D183" s="790" t="s">
        <v>1017</v>
      </c>
      <c r="E183" s="612" t="s">
        <v>956</v>
      </c>
      <c r="F183" s="612" t="s">
        <v>1014</v>
      </c>
      <c r="G183" s="475">
        <v>1</v>
      </c>
      <c r="H183" s="375" t="s">
        <v>1015</v>
      </c>
      <c r="I183" s="301"/>
      <c r="J183" s="776"/>
      <c r="K183" s="497">
        <v>0.11</v>
      </c>
      <c r="L183" s="1263">
        <v>0</v>
      </c>
      <c r="M183" s="1263">
        <v>0</v>
      </c>
      <c r="N183" s="144">
        <v>0</v>
      </c>
      <c r="O183" s="144">
        <v>0</v>
      </c>
      <c r="P183" s="144">
        <v>0</v>
      </c>
      <c r="R183" s="580"/>
      <c r="S183" s="580"/>
      <c r="T183" s="580"/>
    </row>
    <row r="184" customHeight="1" outlineLevel="3" collapsed="1" spans="1:20">
      <c r="A184" s="581"/>
      <c r="B184" s="786" t="s">
        <v>1018</v>
      </c>
      <c r="C184" s="612" t="s">
        <v>622</v>
      </c>
      <c r="D184" s="790" t="s">
        <v>1019</v>
      </c>
      <c r="E184" s="612" t="s">
        <v>956</v>
      </c>
      <c r="F184" s="612" t="s">
        <v>1014</v>
      </c>
      <c r="G184" s="475"/>
      <c r="H184" s="375"/>
      <c r="I184" s="301"/>
      <c r="J184" s="776"/>
      <c r="K184" s="497">
        <v>0.11</v>
      </c>
      <c r="L184" s="1263">
        <v>0</v>
      </c>
      <c r="M184" s="1263">
        <v>0</v>
      </c>
      <c r="N184" s="144">
        <v>0</v>
      </c>
      <c r="O184" s="144">
        <v>0</v>
      </c>
      <c r="P184" s="144">
        <v>0</v>
      </c>
      <c r="R184" s="580"/>
      <c r="S184" s="580"/>
      <c r="T184" s="580"/>
    </row>
    <row r="185" customHeight="1" outlineLevel="2" spans="1:20">
      <c r="A185" s="581"/>
      <c r="B185" s="786" t="s">
        <v>1020</v>
      </c>
      <c r="C185" s="787" t="s">
        <v>1021</v>
      </c>
      <c r="D185" s="763" t="s">
        <v>1022</v>
      </c>
      <c r="E185" s="370"/>
      <c r="F185" s="370"/>
      <c r="G185" s="1234"/>
      <c r="H185" s="765"/>
      <c r="I185" s="765"/>
      <c r="J185" s="772"/>
      <c r="K185" s="772"/>
      <c r="L185" s="1263">
        <v>0</v>
      </c>
      <c r="M185" s="1263">
        <v>0</v>
      </c>
      <c r="N185" s="144">
        <v>0</v>
      </c>
      <c r="O185" s="144">
        <v>0</v>
      </c>
      <c r="P185" s="650">
        <v>0</v>
      </c>
      <c r="R185" s="580"/>
      <c r="S185" s="580"/>
      <c r="T185" s="580"/>
    </row>
    <row r="186" customHeight="1" outlineLevel="3" spans="1:20">
      <c r="A186" s="581"/>
      <c r="B186" s="786" t="s">
        <v>1023</v>
      </c>
      <c r="C186" s="612" t="s">
        <v>622</v>
      </c>
      <c r="D186" s="1260" t="s">
        <v>1024</v>
      </c>
      <c r="E186" s="612" t="s">
        <v>1025</v>
      </c>
      <c r="F186" s="612"/>
      <c r="G186" s="475">
        <v>1</v>
      </c>
      <c r="H186" s="375" t="s">
        <v>681</v>
      </c>
      <c r="I186" s="301">
        <v>10000</v>
      </c>
      <c r="J186" s="776"/>
      <c r="K186" s="497">
        <v>0.17</v>
      </c>
      <c r="L186" s="1263">
        <v>0</v>
      </c>
      <c r="M186" s="1263">
        <v>0</v>
      </c>
      <c r="N186" s="144">
        <v>0</v>
      </c>
      <c r="O186" s="144">
        <v>0</v>
      </c>
      <c r="P186" s="144">
        <v>0</v>
      </c>
      <c r="R186" s="580"/>
      <c r="S186" s="580"/>
      <c r="T186" s="580"/>
    </row>
    <row r="187" customHeight="1" outlineLevel="3" spans="1:20">
      <c r="A187" s="581"/>
      <c r="B187" s="786" t="s">
        <v>1026</v>
      </c>
      <c r="C187" s="612" t="s">
        <v>622</v>
      </c>
      <c r="D187" s="1260" t="s">
        <v>1027</v>
      </c>
      <c r="E187" s="479" t="s">
        <v>956</v>
      </c>
      <c r="F187" s="479" t="s">
        <v>1028</v>
      </c>
      <c r="G187" s="788">
        <v>1</v>
      </c>
      <c r="H187" s="788" t="s">
        <v>655</v>
      </c>
      <c r="I187" s="767">
        <v>400</v>
      </c>
      <c r="J187" s="772"/>
      <c r="K187" s="497">
        <v>0.11</v>
      </c>
      <c r="L187" s="1263">
        <v>0</v>
      </c>
      <c r="M187" s="1263">
        <v>0</v>
      </c>
      <c r="N187" s="144">
        <v>0</v>
      </c>
      <c r="O187" s="144">
        <v>0</v>
      </c>
      <c r="P187" s="144">
        <v>0</v>
      </c>
      <c r="R187" s="580"/>
      <c r="S187" s="580"/>
      <c r="T187" s="580"/>
    </row>
    <row r="188" customHeight="1" outlineLevel="3" spans="1:20">
      <c r="A188" s="581"/>
      <c r="B188" s="786" t="s">
        <v>1029</v>
      </c>
      <c r="C188" s="612" t="s">
        <v>622</v>
      </c>
      <c r="D188" s="1260" t="s">
        <v>1030</v>
      </c>
      <c r="E188" s="479" t="s">
        <v>774</v>
      </c>
      <c r="F188" s="479"/>
      <c r="G188" s="788">
        <v>1</v>
      </c>
      <c r="H188" s="375" t="s">
        <v>681</v>
      </c>
      <c r="I188" s="301">
        <v>10000</v>
      </c>
      <c r="J188" s="1264"/>
      <c r="K188" s="497">
        <v>0.11</v>
      </c>
      <c r="L188" s="1263">
        <v>0</v>
      </c>
      <c r="M188" s="1263">
        <v>0</v>
      </c>
      <c r="N188" s="144">
        <v>0</v>
      </c>
      <c r="O188" s="144">
        <v>0</v>
      </c>
      <c r="P188" s="144">
        <v>0</v>
      </c>
      <c r="R188" s="580"/>
      <c r="S188" s="580"/>
      <c r="T188" s="580"/>
    </row>
    <row r="189" customHeight="1" outlineLevel="2" spans="1:20">
      <c r="A189" s="581"/>
      <c r="B189" s="786" t="s">
        <v>1031</v>
      </c>
      <c r="C189" s="787" t="s">
        <v>1032</v>
      </c>
      <c r="D189" s="763" t="s">
        <v>1033</v>
      </c>
      <c r="E189" s="370"/>
      <c r="F189" s="370"/>
      <c r="G189" s="1234"/>
      <c r="H189" s="765"/>
      <c r="I189" s="765"/>
      <c r="J189" s="772"/>
      <c r="K189" s="772"/>
      <c r="L189" s="1263">
        <v>0</v>
      </c>
      <c r="M189" s="1263">
        <v>0</v>
      </c>
      <c r="N189" s="144">
        <v>0</v>
      </c>
      <c r="O189" s="144">
        <v>0</v>
      </c>
      <c r="P189" s="144">
        <v>0</v>
      </c>
      <c r="R189" s="580"/>
      <c r="S189" s="580"/>
      <c r="T189" s="580"/>
    </row>
    <row r="190" customHeight="1" outlineLevel="3" spans="1:20">
      <c r="A190" s="581"/>
      <c r="B190" s="786" t="s">
        <v>1034</v>
      </c>
      <c r="C190" s="612" t="s">
        <v>622</v>
      </c>
      <c r="D190" s="1260" t="s">
        <v>1035</v>
      </c>
      <c r="E190" s="479" t="s">
        <v>956</v>
      </c>
      <c r="F190" s="479" t="s">
        <v>1035</v>
      </c>
      <c r="G190" s="772">
        <v>1</v>
      </c>
      <c r="H190" s="375" t="s">
        <v>655</v>
      </c>
      <c r="I190" s="767">
        <v>4200</v>
      </c>
      <c r="J190" s="772"/>
      <c r="K190" s="497">
        <v>0.11</v>
      </c>
      <c r="L190" s="1263">
        <v>0</v>
      </c>
      <c r="M190" s="1263">
        <v>0</v>
      </c>
      <c r="N190" s="144">
        <v>0</v>
      </c>
      <c r="O190" s="144">
        <v>0</v>
      </c>
      <c r="P190" s="144">
        <v>0</v>
      </c>
      <c r="R190" s="580"/>
      <c r="S190" s="580"/>
      <c r="T190" s="580"/>
    </row>
    <row r="191" customHeight="1" outlineLevel="3" spans="1:20">
      <c r="A191" s="581"/>
      <c r="B191" s="786" t="s">
        <v>1036</v>
      </c>
      <c r="C191" s="612" t="s">
        <v>622</v>
      </c>
      <c r="D191" s="1260" t="s">
        <v>1037</v>
      </c>
      <c r="E191" s="479" t="s">
        <v>956</v>
      </c>
      <c r="F191" s="479" t="s">
        <v>1037</v>
      </c>
      <c r="G191" s="772">
        <v>1</v>
      </c>
      <c r="H191" s="375" t="s">
        <v>655</v>
      </c>
      <c r="I191" s="767">
        <v>3276</v>
      </c>
      <c r="J191" s="772"/>
      <c r="K191" s="497">
        <v>0.11</v>
      </c>
      <c r="L191" s="1263">
        <v>0</v>
      </c>
      <c r="M191" s="1263">
        <v>0</v>
      </c>
      <c r="N191" s="144">
        <v>0</v>
      </c>
      <c r="O191" s="144">
        <v>0</v>
      </c>
      <c r="P191" s="144"/>
      <c r="R191" s="580"/>
      <c r="S191" s="580"/>
      <c r="T191" s="580"/>
    </row>
    <row r="192" customHeight="1" outlineLevel="3" spans="1:20">
      <c r="A192" s="581"/>
      <c r="B192" s="786" t="s">
        <v>1038</v>
      </c>
      <c r="C192" s="612" t="s">
        <v>622</v>
      </c>
      <c r="D192" s="1260" t="s">
        <v>1039</v>
      </c>
      <c r="E192" s="479" t="s">
        <v>956</v>
      </c>
      <c r="F192" s="479" t="s">
        <v>1039</v>
      </c>
      <c r="G192" s="772">
        <v>1</v>
      </c>
      <c r="H192" s="375" t="s">
        <v>655</v>
      </c>
      <c r="I192" s="767">
        <v>2879</v>
      </c>
      <c r="J192" s="772"/>
      <c r="K192" s="497">
        <v>0.11</v>
      </c>
      <c r="L192" s="1263">
        <v>0</v>
      </c>
      <c r="M192" s="1263">
        <v>0</v>
      </c>
      <c r="N192" s="144">
        <v>0</v>
      </c>
      <c r="O192" s="144">
        <v>0</v>
      </c>
      <c r="P192" s="144"/>
      <c r="R192" s="580"/>
      <c r="S192" s="580"/>
      <c r="T192" s="580"/>
    </row>
    <row r="193" customHeight="1" outlineLevel="3" spans="1:20">
      <c r="A193" s="581"/>
      <c r="B193" s="786" t="s">
        <v>1040</v>
      </c>
      <c r="C193" s="612" t="s">
        <v>622</v>
      </c>
      <c r="D193" s="1260" t="s">
        <v>1041</v>
      </c>
      <c r="E193" s="479" t="s">
        <v>956</v>
      </c>
      <c r="F193" s="479" t="s">
        <v>1041</v>
      </c>
      <c r="G193" s="772">
        <v>1</v>
      </c>
      <c r="H193" s="375" t="s">
        <v>655</v>
      </c>
      <c r="I193" s="767"/>
      <c r="J193" s="772"/>
      <c r="K193" s="497">
        <v>0.11</v>
      </c>
      <c r="L193" s="1263">
        <v>0</v>
      </c>
      <c r="M193" s="1263">
        <v>0</v>
      </c>
      <c r="N193" s="144">
        <v>0</v>
      </c>
      <c r="O193" s="144">
        <v>0</v>
      </c>
      <c r="P193" s="144">
        <v>0</v>
      </c>
      <c r="R193" s="580"/>
      <c r="S193" s="580"/>
      <c r="T193" s="580"/>
    </row>
    <row r="194" customHeight="1" outlineLevel="3" spans="1:20">
      <c r="A194" s="581"/>
      <c r="B194" s="786" t="s">
        <v>1042</v>
      </c>
      <c r="C194" s="612" t="s">
        <v>622</v>
      </c>
      <c r="D194" s="1260" t="s">
        <v>1043</v>
      </c>
      <c r="E194" s="479" t="s">
        <v>956</v>
      </c>
      <c r="F194" s="479" t="s">
        <v>1043</v>
      </c>
      <c r="G194" s="772">
        <v>1</v>
      </c>
      <c r="H194" s="375" t="s">
        <v>655</v>
      </c>
      <c r="I194" s="767">
        <v>5700</v>
      </c>
      <c r="J194" s="772"/>
      <c r="K194" s="497">
        <v>0.11</v>
      </c>
      <c r="L194" s="1263">
        <v>0</v>
      </c>
      <c r="M194" s="1263">
        <v>0</v>
      </c>
      <c r="N194" s="144">
        <v>0</v>
      </c>
      <c r="O194" s="144">
        <v>0</v>
      </c>
      <c r="P194" s="650">
        <v>0</v>
      </c>
      <c r="R194" s="580"/>
      <c r="S194" s="580"/>
      <c r="T194" s="580"/>
    </row>
    <row r="195" s="168" customFormat="1" customHeight="1" outlineLevel="3" spans="1:16">
      <c r="A195" s="456"/>
      <c r="B195" s="786" t="s">
        <v>1044</v>
      </c>
      <c r="C195" s="612" t="s">
        <v>622</v>
      </c>
      <c r="D195" s="1260" t="s">
        <v>1045</v>
      </c>
      <c r="E195" s="479" t="s">
        <v>956</v>
      </c>
      <c r="F195" s="479" t="s">
        <v>1045</v>
      </c>
      <c r="G195" s="772">
        <v>1</v>
      </c>
      <c r="H195" s="375" t="s">
        <v>655</v>
      </c>
      <c r="I195" s="767">
        <v>2032.5</v>
      </c>
      <c r="J195" s="772"/>
      <c r="K195" s="497">
        <v>0.11</v>
      </c>
      <c r="L195" s="1263">
        <v>0</v>
      </c>
      <c r="M195" s="1263">
        <v>0</v>
      </c>
      <c r="N195" s="144">
        <v>0</v>
      </c>
      <c r="O195" s="144">
        <v>0</v>
      </c>
      <c r="P195" s="144">
        <v>0</v>
      </c>
    </row>
    <row r="196" s="168" customFormat="1" customHeight="1" outlineLevel="3" spans="1:16">
      <c r="A196" s="456"/>
      <c r="B196" s="786" t="s">
        <v>1046</v>
      </c>
      <c r="C196" s="612" t="s">
        <v>622</v>
      </c>
      <c r="D196" s="1260" t="s">
        <v>1047</v>
      </c>
      <c r="E196" s="479" t="s">
        <v>956</v>
      </c>
      <c r="F196" s="479" t="s">
        <v>1047</v>
      </c>
      <c r="G196" s="772">
        <v>1</v>
      </c>
      <c r="H196" s="375" t="s">
        <v>655</v>
      </c>
      <c r="I196" s="767">
        <v>1056.51</v>
      </c>
      <c r="J196" s="772"/>
      <c r="K196" s="497">
        <v>0.11</v>
      </c>
      <c r="L196" s="1263">
        <v>0</v>
      </c>
      <c r="M196" s="1263">
        <v>0</v>
      </c>
      <c r="N196" s="144">
        <v>0</v>
      </c>
      <c r="O196" s="144">
        <v>0</v>
      </c>
      <c r="P196" s="144">
        <v>0</v>
      </c>
    </row>
    <row r="197" customHeight="1" outlineLevel="3" spans="1:20">
      <c r="A197" s="581"/>
      <c r="B197" s="786" t="s">
        <v>1048</v>
      </c>
      <c r="C197" s="612" t="s">
        <v>622</v>
      </c>
      <c r="D197" s="1260" t="s">
        <v>1049</v>
      </c>
      <c r="E197" s="612" t="s">
        <v>956</v>
      </c>
      <c r="F197" s="612"/>
      <c r="G197" s="772">
        <v>1</v>
      </c>
      <c r="H197" s="375" t="s">
        <v>655</v>
      </c>
      <c r="I197" s="767"/>
      <c r="J197" s="772"/>
      <c r="K197" s="497">
        <v>0.11</v>
      </c>
      <c r="L197" s="1263">
        <v>0</v>
      </c>
      <c r="M197" s="1263">
        <v>0</v>
      </c>
      <c r="N197" s="144">
        <v>0</v>
      </c>
      <c r="O197" s="144">
        <v>0</v>
      </c>
      <c r="P197" s="650">
        <v>0</v>
      </c>
      <c r="R197" s="580"/>
      <c r="S197" s="580"/>
      <c r="T197" s="580"/>
    </row>
    <row r="198" s="1163" customFormat="1" customHeight="1" outlineLevel="2" spans="1:16">
      <c r="A198" s="1179"/>
      <c r="B198" s="786" t="s">
        <v>1050</v>
      </c>
      <c r="C198" s="787" t="s">
        <v>1051</v>
      </c>
      <c r="D198" s="763" t="s">
        <v>1052</v>
      </c>
      <c r="E198" s="370"/>
      <c r="F198" s="370"/>
      <c r="G198" s="1234"/>
      <c r="H198" s="765"/>
      <c r="I198" s="765"/>
      <c r="J198" s="772"/>
      <c r="K198" s="772"/>
      <c r="L198" s="1263">
        <v>107.837837837838</v>
      </c>
      <c r="M198" s="1263">
        <v>11.8621621621622</v>
      </c>
      <c r="N198" s="144">
        <v>119.7</v>
      </c>
      <c r="O198" s="144">
        <v>5.88524509562909</v>
      </c>
      <c r="P198" s="144">
        <v>119.7</v>
      </c>
    </row>
    <row r="199" s="1163" customFormat="1" customHeight="1" outlineLevel="3" spans="1:16">
      <c r="A199" s="1179"/>
      <c r="B199" s="786" t="s">
        <v>1053</v>
      </c>
      <c r="C199" s="612" t="s">
        <v>622</v>
      </c>
      <c r="D199" s="1265" t="s">
        <v>1054</v>
      </c>
      <c r="E199" s="612" t="s">
        <v>956</v>
      </c>
      <c r="F199" s="612"/>
      <c r="G199" s="290"/>
      <c r="H199" s="375"/>
      <c r="I199" s="301"/>
      <c r="J199" s="776"/>
      <c r="K199" s="776"/>
      <c r="L199" s="1263">
        <v>0</v>
      </c>
      <c r="M199" s="1263">
        <v>0</v>
      </c>
      <c r="N199" s="144">
        <v>0</v>
      </c>
      <c r="O199" s="144">
        <v>0</v>
      </c>
      <c r="P199" s="144">
        <v>0</v>
      </c>
    </row>
    <row r="200" customHeight="1" outlineLevel="3" spans="1:20">
      <c r="A200" s="581"/>
      <c r="B200" s="786" t="s">
        <v>1055</v>
      </c>
      <c r="C200" s="612" t="s">
        <v>622</v>
      </c>
      <c r="D200" s="1265" t="s">
        <v>1056</v>
      </c>
      <c r="E200" s="612" t="s">
        <v>956</v>
      </c>
      <c r="F200" s="612" t="s">
        <v>1057</v>
      </c>
      <c r="G200" s="290">
        <v>1</v>
      </c>
      <c r="H200" s="375" t="s">
        <v>837</v>
      </c>
      <c r="I200" s="301">
        <v>1260</v>
      </c>
      <c r="J200" s="776">
        <v>855.855855855856</v>
      </c>
      <c r="K200" s="497">
        <v>0.11</v>
      </c>
      <c r="L200" s="1263">
        <v>107.837837837838</v>
      </c>
      <c r="M200" s="1263">
        <v>11.8621621621622</v>
      </c>
      <c r="N200" s="144">
        <v>119.7</v>
      </c>
      <c r="O200" s="144">
        <v>5.88524509562909</v>
      </c>
      <c r="P200" s="650">
        <v>119.7</v>
      </c>
      <c r="R200" s="580"/>
      <c r="S200" s="580"/>
      <c r="T200" s="580"/>
    </row>
    <row r="201" s="1163" customFormat="1" customHeight="1" outlineLevel="2" spans="1:16">
      <c r="A201" s="1179"/>
      <c r="B201" s="786" t="s">
        <v>1058</v>
      </c>
      <c r="C201" s="787" t="s">
        <v>1059</v>
      </c>
      <c r="D201" s="763" t="s">
        <v>1060</v>
      </c>
      <c r="E201" s="370"/>
      <c r="F201" s="370"/>
      <c r="G201" s="764"/>
      <c r="H201" s="765"/>
      <c r="I201" s="765"/>
      <c r="J201" s="772"/>
      <c r="K201" s="772"/>
      <c r="L201" s="1263">
        <v>0</v>
      </c>
      <c r="M201" s="1263">
        <v>0</v>
      </c>
      <c r="N201" s="144">
        <v>0</v>
      </c>
      <c r="O201" s="144">
        <v>0</v>
      </c>
      <c r="P201" s="144">
        <v>0</v>
      </c>
    </row>
    <row r="202" s="1163" customFormat="1" customHeight="1" outlineLevel="3" spans="1:16">
      <c r="A202" s="1179"/>
      <c r="B202" s="786" t="s">
        <v>1061</v>
      </c>
      <c r="C202" s="612" t="s">
        <v>622</v>
      </c>
      <c r="D202" s="1265" t="s">
        <v>1062</v>
      </c>
      <c r="E202" s="612" t="s">
        <v>956</v>
      </c>
      <c r="F202" s="612" t="s">
        <v>1063</v>
      </c>
      <c r="G202" s="301">
        <v>1</v>
      </c>
      <c r="H202" s="765" t="s">
        <v>655</v>
      </c>
      <c r="I202" s="767">
        <v>55327.6</v>
      </c>
      <c r="J202" s="776"/>
      <c r="K202" s="497">
        <v>0.13</v>
      </c>
      <c r="L202" s="1263">
        <v>0</v>
      </c>
      <c r="M202" s="1263">
        <v>0</v>
      </c>
      <c r="N202" s="144">
        <v>0</v>
      </c>
      <c r="O202" s="144">
        <v>0</v>
      </c>
      <c r="P202" s="144">
        <v>0</v>
      </c>
    </row>
    <row r="203" s="1163" customFormat="1" customHeight="1" outlineLevel="3" spans="1:16">
      <c r="A203" s="1179"/>
      <c r="B203" s="786" t="s">
        <v>1064</v>
      </c>
      <c r="C203" s="612" t="s">
        <v>622</v>
      </c>
      <c r="D203" s="1265" t="s">
        <v>1065</v>
      </c>
      <c r="E203" s="612" t="s">
        <v>956</v>
      </c>
      <c r="F203" s="612" t="s">
        <v>1063</v>
      </c>
      <c r="G203" s="301">
        <v>1</v>
      </c>
      <c r="H203" s="765" t="s">
        <v>655</v>
      </c>
      <c r="I203" s="767">
        <v>55327.6</v>
      </c>
      <c r="J203" s="776"/>
      <c r="K203" s="497">
        <v>0.03</v>
      </c>
      <c r="L203" s="1263">
        <v>0</v>
      </c>
      <c r="M203" s="1263">
        <v>0</v>
      </c>
      <c r="N203" s="144">
        <v>0</v>
      </c>
      <c r="O203" s="144">
        <v>0</v>
      </c>
      <c r="P203" s="144">
        <v>0</v>
      </c>
    </row>
    <row r="204" s="1163" customFormat="1" customHeight="1" outlineLevel="2" spans="1:16">
      <c r="A204" s="1179"/>
      <c r="B204" s="786" t="s">
        <v>1066</v>
      </c>
      <c r="C204" s="787" t="s">
        <v>1067</v>
      </c>
      <c r="D204" s="763" t="s">
        <v>1068</v>
      </c>
      <c r="E204" s="370"/>
      <c r="F204" s="370"/>
      <c r="G204" s="764"/>
      <c r="H204" s="765"/>
      <c r="I204" s="765"/>
      <c r="J204" s="772"/>
      <c r="K204" s="772"/>
      <c r="L204" s="1263">
        <v>0</v>
      </c>
      <c r="M204" s="1263">
        <v>0</v>
      </c>
      <c r="N204" s="144">
        <v>0</v>
      </c>
      <c r="O204" s="144"/>
      <c r="P204" s="144"/>
    </row>
    <row r="205" s="1163" customFormat="1" customHeight="1" outlineLevel="3" spans="1:16">
      <c r="A205" s="1179"/>
      <c r="B205" s="786" t="s">
        <v>1069</v>
      </c>
      <c r="C205" s="612" t="s">
        <v>622</v>
      </c>
      <c r="D205" s="1260" t="s">
        <v>1070</v>
      </c>
      <c r="E205" s="612" t="s">
        <v>1025</v>
      </c>
      <c r="F205" s="612" t="s">
        <v>1063</v>
      </c>
      <c r="G205" s="1210">
        <v>1</v>
      </c>
      <c r="H205" s="765" t="s">
        <v>655</v>
      </c>
      <c r="I205" s="767">
        <v>55327.6</v>
      </c>
      <c r="J205" s="1211"/>
      <c r="K205" s="1209">
        <v>0.17</v>
      </c>
      <c r="L205" s="1263">
        <v>0</v>
      </c>
      <c r="M205" s="1263">
        <v>0</v>
      </c>
      <c r="N205" s="144">
        <v>0</v>
      </c>
      <c r="O205" s="144"/>
      <c r="P205" s="144"/>
    </row>
    <row r="206" customHeight="1" outlineLevel="3" collapsed="1" spans="1:20">
      <c r="A206" s="581"/>
      <c r="B206" s="786" t="s">
        <v>1071</v>
      </c>
      <c r="C206" s="612" t="s">
        <v>622</v>
      </c>
      <c r="D206" s="1260" t="s">
        <v>1072</v>
      </c>
      <c r="E206" s="612" t="s">
        <v>1073</v>
      </c>
      <c r="F206" s="612" t="s">
        <v>1063</v>
      </c>
      <c r="G206" s="1210">
        <v>1</v>
      </c>
      <c r="H206" s="765" t="s">
        <v>655</v>
      </c>
      <c r="I206" s="767">
        <v>55327.6</v>
      </c>
      <c r="J206" s="1211"/>
      <c r="K206" s="1209">
        <v>0.17</v>
      </c>
      <c r="L206" s="1263">
        <v>0</v>
      </c>
      <c r="M206" s="1263">
        <v>0</v>
      </c>
      <c r="N206" s="1204">
        <v>0</v>
      </c>
      <c r="O206" s="1204">
        <v>0</v>
      </c>
      <c r="P206" s="1204">
        <v>0</v>
      </c>
      <c r="R206" s="580"/>
      <c r="S206" s="580"/>
      <c r="T206" s="580"/>
    </row>
    <row r="207" customHeight="1" outlineLevel="3" spans="1:20">
      <c r="A207" s="581"/>
      <c r="B207" s="786" t="s">
        <v>1074</v>
      </c>
      <c r="C207" s="612" t="s">
        <v>622</v>
      </c>
      <c r="D207" s="1260" t="s">
        <v>1075</v>
      </c>
      <c r="E207" s="612" t="s">
        <v>1025</v>
      </c>
      <c r="F207" s="612" t="s">
        <v>1063</v>
      </c>
      <c r="G207" s="1210">
        <v>1</v>
      </c>
      <c r="H207" s="765" t="s">
        <v>655</v>
      </c>
      <c r="I207" s="767">
        <v>55327.6</v>
      </c>
      <c r="J207" s="1211"/>
      <c r="K207" s="1209">
        <v>0.17</v>
      </c>
      <c r="L207" s="1263">
        <v>0</v>
      </c>
      <c r="M207" s="1263">
        <v>0</v>
      </c>
      <c r="N207" s="492">
        <v>0</v>
      </c>
      <c r="O207" s="545">
        <v>0</v>
      </c>
      <c r="P207" s="492">
        <v>0</v>
      </c>
      <c r="R207" s="580"/>
      <c r="S207" s="580"/>
      <c r="T207" s="580"/>
    </row>
    <row r="208" s="1163" customFormat="1" ht="24.75" customHeight="1" spans="1:16">
      <c r="A208" s="1179"/>
      <c r="B208" s="1180" t="s">
        <v>1076</v>
      </c>
      <c r="C208" s="593" t="s">
        <v>565</v>
      </c>
      <c r="D208" s="468" t="s">
        <v>485</v>
      </c>
      <c r="E208" s="469"/>
      <c r="F208" s="1181"/>
      <c r="G208" s="1182"/>
      <c r="H208" s="920"/>
      <c r="I208" s="973"/>
      <c r="J208" s="1235"/>
      <c r="K208" s="1235"/>
      <c r="L208" s="1204">
        <v>4723.42864751689</v>
      </c>
      <c r="M208" s="1204">
        <v>332.239626174243</v>
      </c>
      <c r="N208" s="1204">
        <v>5055.66827369113</v>
      </c>
      <c r="O208" s="1204">
        <v>248.570149648023</v>
      </c>
      <c r="P208" s="975">
        <v>5055.66827369113</v>
      </c>
    </row>
    <row r="209" customHeight="1" outlineLevel="1" spans="1:20">
      <c r="A209" s="581"/>
      <c r="B209" s="1817" t="s">
        <v>566</v>
      </c>
      <c r="C209" s="596">
        <v>1</v>
      </c>
      <c r="D209" s="1230" t="s">
        <v>567</v>
      </c>
      <c r="E209" s="506"/>
      <c r="F209" s="1231"/>
      <c r="G209" s="770"/>
      <c r="H209" s="762"/>
      <c r="I209" s="769"/>
      <c r="J209" s="1249"/>
      <c r="K209" s="1249"/>
      <c r="L209" s="545">
        <v>1049.08374422038</v>
      </c>
      <c r="M209" s="545">
        <v>62.9450246532229</v>
      </c>
      <c r="N209" s="545">
        <v>1112.0287688736</v>
      </c>
      <c r="O209" s="645">
        <v>54.6747022407004</v>
      </c>
      <c r="P209" s="645">
        <v>1112.0287688736</v>
      </c>
      <c r="R209" s="580"/>
      <c r="S209" s="580"/>
      <c r="T209" s="580"/>
    </row>
    <row r="210" ht="22.5" customHeight="1" outlineLevel="2" spans="1:20">
      <c r="A210" s="581"/>
      <c r="B210" s="786" t="s">
        <v>1077</v>
      </c>
      <c r="C210" s="787" t="s">
        <v>1078</v>
      </c>
      <c r="D210" s="763" t="s">
        <v>1079</v>
      </c>
      <c r="E210" s="370" t="s">
        <v>1080</v>
      </c>
      <c r="F210" s="370" t="s">
        <v>505</v>
      </c>
      <c r="G210" s="764">
        <v>1</v>
      </c>
      <c r="H210" s="765" t="s">
        <v>655</v>
      </c>
      <c r="I210" s="765">
        <v>273546.150452951</v>
      </c>
      <c r="J210" s="772">
        <v>6.76</v>
      </c>
      <c r="K210" s="497">
        <v>0.06</v>
      </c>
      <c r="L210" s="772">
        <v>184.917197706195</v>
      </c>
      <c r="M210" s="772">
        <v>11.0950318623717</v>
      </c>
      <c r="N210" s="144">
        <v>196.012229568567</v>
      </c>
      <c r="O210" s="144">
        <v>9.63725992273793</v>
      </c>
      <c r="P210" s="144">
        <v>196.012229568567</v>
      </c>
      <c r="R210" s="580"/>
      <c r="S210" s="580"/>
      <c r="T210" s="580"/>
    </row>
    <row r="211" ht="22.5" customHeight="1" outlineLevel="2" spans="1:20">
      <c r="A211" s="581"/>
      <c r="B211" s="786" t="s">
        <v>1081</v>
      </c>
      <c r="C211" s="787" t="s">
        <v>1021</v>
      </c>
      <c r="D211" s="763" t="s">
        <v>1082</v>
      </c>
      <c r="E211" s="370" t="s">
        <v>1080</v>
      </c>
      <c r="F211" s="370" t="s">
        <v>505</v>
      </c>
      <c r="G211" s="764">
        <v>1</v>
      </c>
      <c r="H211" s="765" t="s">
        <v>655</v>
      </c>
      <c r="I211" s="765">
        <v>273546.150452951</v>
      </c>
      <c r="J211" s="772"/>
      <c r="K211" s="497">
        <v>0.06</v>
      </c>
      <c r="L211" s="772">
        <v>0</v>
      </c>
      <c r="M211" s="772">
        <v>0</v>
      </c>
      <c r="N211" s="144">
        <v>0</v>
      </c>
      <c r="O211" s="144">
        <v>0</v>
      </c>
      <c r="P211" s="144">
        <v>0</v>
      </c>
      <c r="R211" s="580"/>
      <c r="S211" s="580"/>
      <c r="T211" s="580"/>
    </row>
    <row r="212" ht="22.5" customHeight="1" outlineLevel="2" spans="1:20">
      <c r="A212" s="581"/>
      <c r="B212" s="786" t="s">
        <v>1083</v>
      </c>
      <c r="C212" s="787" t="s">
        <v>1032</v>
      </c>
      <c r="D212" s="763" t="s">
        <v>1084</v>
      </c>
      <c r="E212" s="766" t="s">
        <v>1085</v>
      </c>
      <c r="F212" s="370" t="s">
        <v>505</v>
      </c>
      <c r="G212" s="767">
        <v>1</v>
      </c>
      <c r="H212" s="765" t="s">
        <v>655</v>
      </c>
      <c r="I212" s="765">
        <v>273546.150452951</v>
      </c>
      <c r="J212" s="776">
        <v>19.69</v>
      </c>
      <c r="K212" s="497">
        <v>0.06</v>
      </c>
      <c r="L212" s="772">
        <v>538.612370241861</v>
      </c>
      <c r="M212" s="772">
        <v>32.3167422145117</v>
      </c>
      <c r="N212" s="144">
        <v>570.929112456373</v>
      </c>
      <c r="O212" s="144">
        <v>28.0706579702234</v>
      </c>
      <c r="P212" s="144">
        <v>570.929112456373</v>
      </c>
      <c r="R212" s="580"/>
      <c r="S212" s="580"/>
      <c r="T212" s="580"/>
    </row>
    <row r="213" ht="22.5" customHeight="1" outlineLevel="2" spans="1:20">
      <c r="A213" s="581"/>
      <c r="B213" s="786" t="s">
        <v>1086</v>
      </c>
      <c r="C213" s="787" t="s">
        <v>1051</v>
      </c>
      <c r="D213" s="763" t="s">
        <v>1087</v>
      </c>
      <c r="E213" s="766" t="s">
        <v>1088</v>
      </c>
      <c r="F213" s="612" t="s">
        <v>604</v>
      </c>
      <c r="G213" s="767">
        <v>1</v>
      </c>
      <c r="H213" s="765" t="s">
        <v>655</v>
      </c>
      <c r="I213" s="767">
        <v>46405.18</v>
      </c>
      <c r="J213" s="776">
        <v>21.7</v>
      </c>
      <c r="K213" s="497">
        <v>0.06</v>
      </c>
      <c r="L213" s="772">
        <v>100.6992406</v>
      </c>
      <c r="M213" s="772">
        <v>6.041954436</v>
      </c>
      <c r="N213" s="144">
        <v>106.741195036</v>
      </c>
      <c r="O213" s="144">
        <v>5.24810438251635</v>
      </c>
      <c r="P213" s="144">
        <v>106.741195036</v>
      </c>
      <c r="R213" s="580"/>
      <c r="S213" s="580"/>
      <c r="T213" s="580"/>
    </row>
    <row r="214" ht="22.5" customHeight="1" outlineLevel="2" spans="1:20">
      <c r="A214" s="581"/>
      <c r="B214" s="786" t="s">
        <v>1089</v>
      </c>
      <c r="C214" s="787" t="s">
        <v>1059</v>
      </c>
      <c r="D214" s="763" t="s">
        <v>1090</v>
      </c>
      <c r="E214" s="598"/>
      <c r="F214" s="612"/>
      <c r="G214" s="375">
        <v>1</v>
      </c>
      <c r="H214" s="765" t="s">
        <v>655</v>
      </c>
      <c r="I214" s="375">
        <v>10000</v>
      </c>
      <c r="J214" s="776"/>
      <c r="K214" s="497">
        <v>0.06</v>
      </c>
      <c r="L214" s="772">
        <v>0</v>
      </c>
      <c r="M214" s="772">
        <v>0</v>
      </c>
      <c r="N214" s="144">
        <v>0</v>
      </c>
      <c r="O214" s="144">
        <v>0</v>
      </c>
      <c r="P214" s="144">
        <v>0</v>
      </c>
      <c r="R214" s="580"/>
      <c r="S214" s="580"/>
      <c r="T214" s="580"/>
    </row>
    <row r="215" ht="22.5" customHeight="1" outlineLevel="2" spans="1:20">
      <c r="A215" s="581"/>
      <c r="B215" s="786" t="s">
        <v>1091</v>
      </c>
      <c r="C215" s="787" t="s">
        <v>1067</v>
      </c>
      <c r="D215" s="763" t="s">
        <v>1092</v>
      </c>
      <c r="E215" s="598"/>
      <c r="F215" s="612"/>
      <c r="G215" s="375">
        <v>1</v>
      </c>
      <c r="H215" s="765" t="s">
        <v>655</v>
      </c>
      <c r="I215" s="375">
        <v>10000</v>
      </c>
      <c r="J215" s="776"/>
      <c r="K215" s="497">
        <v>0.06</v>
      </c>
      <c r="L215" s="772">
        <v>0</v>
      </c>
      <c r="M215" s="772">
        <v>0</v>
      </c>
      <c r="N215" s="144">
        <v>0</v>
      </c>
      <c r="O215" s="144">
        <v>0</v>
      </c>
      <c r="P215" s="144">
        <v>0</v>
      </c>
      <c r="R215" s="580"/>
      <c r="S215" s="580"/>
      <c r="T215" s="580"/>
    </row>
    <row r="216" ht="22.5" customHeight="1" outlineLevel="2" spans="1:20">
      <c r="A216" s="581"/>
      <c r="B216" s="786" t="s">
        <v>1093</v>
      </c>
      <c r="C216" s="787" t="s">
        <v>1094</v>
      </c>
      <c r="D216" s="763" t="s">
        <v>1095</v>
      </c>
      <c r="E216" s="766" t="s">
        <v>1095</v>
      </c>
      <c r="F216" s="370" t="s">
        <v>505</v>
      </c>
      <c r="G216" s="290">
        <v>1</v>
      </c>
      <c r="H216" s="375" t="s">
        <v>655</v>
      </c>
      <c r="I216" s="301">
        <v>273546.150452951</v>
      </c>
      <c r="J216" s="776">
        <v>0.23</v>
      </c>
      <c r="K216" s="497">
        <v>0.06</v>
      </c>
      <c r="L216" s="772">
        <v>6.29156146041788</v>
      </c>
      <c r="M216" s="772">
        <v>0.377493687625073</v>
      </c>
      <c r="N216" s="144">
        <v>6.66905514804295</v>
      </c>
      <c r="O216" s="144">
        <v>0.327894938199663</v>
      </c>
      <c r="P216" s="144">
        <v>6.66905514804295</v>
      </c>
      <c r="R216" s="580"/>
      <c r="S216" s="580"/>
      <c r="T216" s="580"/>
    </row>
    <row r="217" ht="24.75" customHeight="1" outlineLevel="2" spans="1:20">
      <c r="A217" s="581"/>
      <c r="B217" s="786" t="s">
        <v>1096</v>
      </c>
      <c r="C217" s="787" t="s">
        <v>1097</v>
      </c>
      <c r="D217" s="763" t="s">
        <v>1098</v>
      </c>
      <c r="E217" s="766" t="s">
        <v>1099</v>
      </c>
      <c r="F217" s="479" t="s">
        <v>1100</v>
      </c>
      <c r="G217" s="375">
        <v>1</v>
      </c>
      <c r="H217" s="765" t="s">
        <v>655</v>
      </c>
      <c r="I217" s="301">
        <v>273546.150452951</v>
      </c>
      <c r="J217" s="776">
        <v>2.12</v>
      </c>
      <c r="K217" s="497">
        <v>0.06</v>
      </c>
      <c r="L217" s="772">
        <v>57.9917838960257</v>
      </c>
      <c r="M217" s="772">
        <v>3.47950703376154</v>
      </c>
      <c r="N217" s="1249">
        <v>61.4712909297872</v>
      </c>
      <c r="O217" s="1249">
        <v>3.02233595210124</v>
      </c>
      <c r="P217" s="1249">
        <v>61.4712909297872</v>
      </c>
      <c r="R217" s="580"/>
      <c r="S217" s="580"/>
      <c r="T217" s="580"/>
    </row>
    <row r="218" customHeight="1" outlineLevel="2" collapsed="1" spans="1:20">
      <c r="A218" s="581"/>
      <c r="B218" s="786" t="s">
        <v>1101</v>
      </c>
      <c r="C218" s="787" t="s">
        <v>1102</v>
      </c>
      <c r="D218" s="763" t="s">
        <v>1103</v>
      </c>
      <c r="E218" s="766" t="s">
        <v>1104</v>
      </c>
      <c r="F218" s="612"/>
      <c r="G218" s="290"/>
      <c r="H218" s="375"/>
      <c r="I218" s="301"/>
      <c r="J218" s="776"/>
      <c r="K218" s="497">
        <v>0.06</v>
      </c>
      <c r="L218" s="772">
        <v>0</v>
      </c>
      <c r="M218" s="772">
        <v>0</v>
      </c>
      <c r="N218" s="492">
        <v>0</v>
      </c>
      <c r="O218" s="545">
        <v>0</v>
      </c>
      <c r="P218" s="771">
        <v>0</v>
      </c>
      <c r="R218" s="580"/>
      <c r="S218" s="580"/>
      <c r="T218" s="580"/>
    </row>
    <row r="219" customHeight="1" outlineLevel="2" spans="1:20">
      <c r="A219" s="581"/>
      <c r="B219" s="786" t="s">
        <v>1105</v>
      </c>
      <c r="C219" s="787" t="s">
        <v>1106</v>
      </c>
      <c r="D219" s="763" t="s">
        <v>1107</v>
      </c>
      <c r="E219" s="766" t="s">
        <v>1108</v>
      </c>
      <c r="F219" s="479" t="s">
        <v>1100</v>
      </c>
      <c r="G219" s="375">
        <v>1</v>
      </c>
      <c r="H219" s="765" t="s">
        <v>655</v>
      </c>
      <c r="I219" s="301">
        <v>273546.150452951</v>
      </c>
      <c r="J219" s="776">
        <v>5.87</v>
      </c>
      <c r="K219" s="497">
        <v>0.06</v>
      </c>
      <c r="L219" s="772">
        <v>160.571590315882</v>
      </c>
      <c r="M219" s="772">
        <v>9.63429541895294</v>
      </c>
      <c r="N219" s="144">
        <v>170.205885734835</v>
      </c>
      <c r="O219" s="144">
        <v>8.36844907492184</v>
      </c>
      <c r="P219" s="650">
        <v>170.205885734835</v>
      </c>
      <c r="R219" s="580"/>
      <c r="S219" s="580"/>
      <c r="T219" s="580"/>
    </row>
    <row r="220" customHeight="1" outlineLevel="2" spans="1:20">
      <c r="A220" s="581"/>
      <c r="B220" s="786" t="s">
        <v>1109</v>
      </c>
      <c r="C220" s="787" t="s">
        <v>1110</v>
      </c>
      <c r="D220" s="763" t="s">
        <v>1111</v>
      </c>
      <c r="E220" s="766" t="s">
        <v>1112</v>
      </c>
      <c r="F220" s="612"/>
      <c r="G220" s="290"/>
      <c r="H220" s="375"/>
      <c r="I220" s="301"/>
      <c r="J220" s="776"/>
      <c r="K220" s="497">
        <v>0.06</v>
      </c>
      <c r="L220" s="772">
        <v>0</v>
      </c>
      <c r="M220" s="772">
        <v>0</v>
      </c>
      <c r="N220" s="144">
        <v>0</v>
      </c>
      <c r="O220" s="727">
        <v>0</v>
      </c>
      <c r="P220" s="727">
        <v>0</v>
      </c>
      <c r="R220" s="580"/>
      <c r="S220" s="580"/>
      <c r="T220" s="580"/>
    </row>
    <row r="221" customHeight="1" outlineLevel="1" collapsed="1" spans="1:20">
      <c r="A221" s="581"/>
      <c r="B221" s="1817" t="s">
        <v>569</v>
      </c>
      <c r="C221" s="596">
        <v>2</v>
      </c>
      <c r="D221" s="1230" t="s">
        <v>570</v>
      </c>
      <c r="E221" s="505" t="s">
        <v>570</v>
      </c>
      <c r="F221" s="193" t="s">
        <v>1113</v>
      </c>
      <c r="G221" s="770">
        <v>3.5</v>
      </c>
      <c r="H221" s="762"/>
      <c r="I221" s="1249">
        <v>4</v>
      </c>
      <c r="J221" s="1249">
        <v>350000</v>
      </c>
      <c r="K221" s="1249">
        <v>0</v>
      </c>
      <c r="L221" s="545">
        <v>490</v>
      </c>
      <c r="M221" s="545">
        <v>0</v>
      </c>
      <c r="N221" s="545">
        <v>490</v>
      </c>
      <c r="O221" s="645">
        <v>24.0916465902945</v>
      </c>
      <c r="P221" s="645">
        <v>490</v>
      </c>
      <c r="R221" s="580"/>
      <c r="S221" s="580"/>
      <c r="T221" s="580"/>
    </row>
    <row r="222" customHeight="1" outlineLevel="1" spans="1:20">
      <c r="A222" s="581"/>
      <c r="B222" s="1817" t="s">
        <v>572</v>
      </c>
      <c r="C222" s="596">
        <v>3</v>
      </c>
      <c r="D222" s="1230" t="s">
        <v>573</v>
      </c>
      <c r="E222" s="506"/>
      <c r="F222" s="1231"/>
      <c r="G222" s="770"/>
      <c r="H222" s="762"/>
      <c r="I222" s="769"/>
      <c r="J222" s="1249"/>
      <c r="K222" s="1249"/>
      <c r="L222" s="545">
        <v>823.39113662234</v>
      </c>
      <c r="M222" s="545">
        <v>50.6216097548039</v>
      </c>
      <c r="N222" s="545">
        <v>874.012746377144</v>
      </c>
      <c r="O222" s="645">
        <v>42.9722575533283</v>
      </c>
      <c r="P222" s="645">
        <v>874.012746377144</v>
      </c>
      <c r="R222" s="580"/>
      <c r="S222" s="580"/>
      <c r="T222" s="580"/>
    </row>
    <row r="223" customHeight="1" outlineLevel="2" spans="1:20">
      <c r="A223" s="581"/>
      <c r="B223" s="786" t="s">
        <v>1114</v>
      </c>
      <c r="C223" s="787" t="s">
        <v>1078</v>
      </c>
      <c r="D223" s="763" t="s">
        <v>1115</v>
      </c>
      <c r="E223" s="479" t="s">
        <v>1116</v>
      </c>
      <c r="F223" s="479" t="s">
        <v>1100</v>
      </c>
      <c r="G223" s="764">
        <v>1</v>
      </c>
      <c r="H223" s="765" t="s">
        <v>655</v>
      </c>
      <c r="I223" s="301">
        <v>273546.150452951</v>
      </c>
      <c r="J223" s="772">
        <v>17</v>
      </c>
      <c r="K223" s="1266">
        <v>0.06</v>
      </c>
      <c r="L223" s="772">
        <v>465.028455770017</v>
      </c>
      <c r="M223" s="772">
        <v>27.901707346201</v>
      </c>
      <c r="N223" s="144">
        <v>492.930163116218</v>
      </c>
      <c r="O223" s="144">
        <v>24.2357128234534</v>
      </c>
      <c r="P223" s="650">
        <v>492.930163116218</v>
      </c>
      <c r="R223" s="580"/>
      <c r="S223" s="580"/>
      <c r="T223" s="580"/>
    </row>
    <row r="224" customHeight="1" outlineLevel="2" spans="1:20">
      <c r="A224" s="581"/>
      <c r="B224" s="786" t="s">
        <v>1117</v>
      </c>
      <c r="C224" s="787" t="s">
        <v>1021</v>
      </c>
      <c r="D224" s="763" t="s">
        <v>1118</v>
      </c>
      <c r="E224" s="479" t="s">
        <v>1119</v>
      </c>
      <c r="F224" s="479" t="s">
        <v>1100</v>
      </c>
      <c r="G224" s="788">
        <v>1</v>
      </c>
      <c r="H224" s="765" t="s">
        <v>655</v>
      </c>
      <c r="I224" s="301">
        <v>273546.150452951</v>
      </c>
      <c r="J224" s="776">
        <v>1.89</v>
      </c>
      <c r="K224" s="1266">
        <v>0.06</v>
      </c>
      <c r="L224" s="772">
        <v>51.7002224356078</v>
      </c>
      <c r="M224" s="772">
        <v>3.10201334613647</v>
      </c>
      <c r="N224" s="144">
        <v>54.8022357817443</v>
      </c>
      <c r="O224" s="144">
        <v>2.69444101390158</v>
      </c>
      <c r="P224" s="650">
        <v>54.8022357817443</v>
      </c>
      <c r="R224" s="580"/>
      <c r="S224" s="580"/>
      <c r="T224" s="580"/>
    </row>
    <row r="225" s="581" customFormat="1" customHeight="1" outlineLevel="2" spans="2:16">
      <c r="B225" s="786" t="s">
        <v>1120</v>
      </c>
      <c r="C225" s="787" t="s">
        <v>1032</v>
      </c>
      <c r="D225" s="763" t="s">
        <v>1121</v>
      </c>
      <c r="E225" s="290" t="s">
        <v>1119</v>
      </c>
      <c r="F225" s="290" t="s">
        <v>1100</v>
      </c>
      <c r="G225" s="788">
        <v>1</v>
      </c>
      <c r="H225" s="765" t="s">
        <v>655</v>
      </c>
      <c r="I225" s="301">
        <v>273546.150452951</v>
      </c>
      <c r="J225" s="776"/>
      <c r="K225" s="1266">
        <v>0.06</v>
      </c>
      <c r="L225" s="772">
        <v>0</v>
      </c>
      <c r="M225" s="772">
        <v>0</v>
      </c>
      <c r="N225" s="144">
        <v>0</v>
      </c>
      <c r="O225" s="144">
        <v>0</v>
      </c>
      <c r="P225" s="650">
        <v>0</v>
      </c>
    </row>
    <row r="226" s="581" customFormat="1" customHeight="1" outlineLevel="2" spans="2:16">
      <c r="B226" s="786" t="s">
        <v>1122</v>
      </c>
      <c r="C226" s="787" t="s">
        <v>1051</v>
      </c>
      <c r="D226" s="763" t="s">
        <v>1123</v>
      </c>
      <c r="E226" s="290"/>
      <c r="F226" s="479" t="s">
        <v>1100</v>
      </c>
      <c r="G226" s="788">
        <v>1</v>
      </c>
      <c r="H226" s="765" t="s">
        <v>655</v>
      </c>
      <c r="I226" s="301">
        <v>273546.150452951</v>
      </c>
      <c r="J226" s="776">
        <v>2</v>
      </c>
      <c r="K226" s="1266">
        <v>0</v>
      </c>
      <c r="L226" s="772">
        <v>54.7092300905903</v>
      </c>
      <c r="M226" s="772">
        <v>0</v>
      </c>
      <c r="N226" s="144">
        <v>54.7092300905903</v>
      </c>
      <c r="O226" s="144">
        <v>2.68986823789716</v>
      </c>
      <c r="P226" s="650">
        <v>54.7092300905903</v>
      </c>
    </row>
    <row r="227" s="581" customFormat="1" ht="26.25" customHeight="1" outlineLevel="2" spans="2:16">
      <c r="B227" s="786" t="s">
        <v>1124</v>
      </c>
      <c r="C227" s="787" t="s">
        <v>1059</v>
      </c>
      <c r="D227" s="763" t="s">
        <v>1125</v>
      </c>
      <c r="E227" s="290"/>
      <c r="F227" s="290"/>
      <c r="G227" s="788"/>
      <c r="H227" s="765"/>
      <c r="I227" s="301"/>
      <c r="J227" s="776"/>
      <c r="K227" s="1266">
        <v>0</v>
      </c>
      <c r="L227" s="772">
        <v>0</v>
      </c>
      <c r="M227" s="772">
        <v>0</v>
      </c>
      <c r="N227" s="144">
        <v>0</v>
      </c>
      <c r="O227" s="727">
        <v>0</v>
      </c>
      <c r="P227" s="727">
        <v>0</v>
      </c>
    </row>
    <row r="228" s="581" customFormat="1" ht="26.25" customHeight="1" outlineLevel="2" spans="2:16">
      <c r="B228" s="786" t="s">
        <v>1126</v>
      </c>
      <c r="C228" s="787" t="s">
        <v>1067</v>
      </c>
      <c r="D228" s="763" t="s">
        <v>1127</v>
      </c>
      <c r="E228" s="290" t="s">
        <v>1128</v>
      </c>
      <c r="F228" s="290" t="s">
        <v>1100</v>
      </c>
      <c r="G228" s="764">
        <v>1</v>
      </c>
      <c r="H228" s="765" t="s">
        <v>655</v>
      </c>
      <c r="I228" s="301">
        <v>273546.150452951</v>
      </c>
      <c r="J228" s="772"/>
      <c r="K228" s="805">
        <v>0</v>
      </c>
      <c r="L228" s="772">
        <v>0</v>
      </c>
      <c r="M228" s="772">
        <v>0</v>
      </c>
      <c r="N228" s="144">
        <v>0</v>
      </c>
      <c r="O228" s="727">
        <v>0</v>
      </c>
      <c r="P228" s="727">
        <v>0</v>
      </c>
    </row>
    <row r="229" ht="26.25" customHeight="1" outlineLevel="2" spans="1:20">
      <c r="A229" s="581"/>
      <c r="B229" s="786" t="s">
        <v>1129</v>
      </c>
      <c r="C229" s="787" t="s">
        <v>1094</v>
      </c>
      <c r="D229" s="763" t="s">
        <v>1130</v>
      </c>
      <c r="E229" s="479"/>
      <c r="F229" s="370"/>
      <c r="G229" s="764"/>
      <c r="H229" s="765"/>
      <c r="I229" s="765"/>
      <c r="J229" s="772"/>
      <c r="K229" s="805">
        <v>0</v>
      </c>
      <c r="L229" s="772">
        <v>251.953228326125</v>
      </c>
      <c r="M229" s="772">
        <v>19.6178890624664</v>
      </c>
      <c r="N229" s="144">
        <v>271.571117388591</v>
      </c>
      <c r="O229" s="727">
        <v>13.3522354780762</v>
      </c>
      <c r="P229" s="727">
        <v>271.571117388591</v>
      </c>
      <c r="R229" s="580"/>
      <c r="S229" s="580"/>
      <c r="T229" s="580"/>
    </row>
    <row r="230" ht="26.25" customHeight="1" outlineLevel="3" spans="1:20">
      <c r="A230" s="581"/>
      <c r="B230" s="786" t="s">
        <v>1131</v>
      </c>
      <c r="C230" s="612" t="s">
        <v>622</v>
      </c>
      <c r="D230" s="763" t="s">
        <v>1132</v>
      </c>
      <c r="E230" s="479" t="s">
        <v>1133</v>
      </c>
      <c r="F230" s="370"/>
      <c r="G230" s="764"/>
      <c r="H230" s="765" t="s">
        <v>837</v>
      </c>
      <c r="I230" s="765">
        <v>1400</v>
      </c>
      <c r="J230" s="772">
        <v>586</v>
      </c>
      <c r="K230" s="497">
        <v>0.11</v>
      </c>
      <c r="L230" s="772">
        <v>0</v>
      </c>
      <c r="M230" s="772">
        <v>0</v>
      </c>
      <c r="N230" s="144">
        <v>0</v>
      </c>
      <c r="O230" s="727">
        <v>0</v>
      </c>
      <c r="P230" s="727">
        <v>0</v>
      </c>
      <c r="R230" s="580"/>
      <c r="S230" s="580"/>
      <c r="T230" s="580"/>
    </row>
    <row r="231" ht="26.25" customHeight="1" outlineLevel="3" spans="1:20">
      <c r="A231" s="581"/>
      <c r="B231" s="786" t="s">
        <v>1134</v>
      </c>
      <c r="C231" s="612" t="s">
        <v>622</v>
      </c>
      <c r="D231" s="763" t="s">
        <v>1135</v>
      </c>
      <c r="E231" s="479"/>
      <c r="F231" s="370"/>
      <c r="G231" s="375">
        <v>1</v>
      </c>
      <c r="H231" s="765" t="s">
        <v>655</v>
      </c>
      <c r="I231" s="1246">
        <v>1000</v>
      </c>
      <c r="J231" s="772">
        <v>550</v>
      </c>
      <c r="K231" s="497">
        <v>0.11</v>
      </c>
      <c r="L231" s="772">
        <v>55</v>
      </c>
      <c r="M231" s="772">
        <v>6.05</v>
      </c>
      <c r="N231" s="144">
        <v>61.05</v>
      </c>
      <c r="O231" s="727">
        <v>3.00162249864792</v>
      </c>
      <c r="P231" s="727">
        <v>61.05</v>
      </c>
      <c r="R231" s="580"/>
      <c r="S231" s="580"/>
      <c r="T231" s="580"/>
    </row>
    <row r="232" ht="26.25" customHeight="1" outlineLevel="3" spans="1:20">
      <c r="A232" s="581"/>
      <c r="B232" s="786" t="s">
        <v>1136</v>
      </c>
      <c r="C232" s="612" t="s">
        <v>622</v>
      </c>
      <c r="D232" s="763" t="s">
        <v>1137</v>
      </c>
      <c r="E232" s="479" t="s">
        <v>1133</v>
      </c>
      <c r="F232" s="370"/>
      <c r="G232" s="764"/>
      <c r="H232" s="765"/>
      <c r="I232" s="765"/>
      <c r="J232" s="772"/>
      <c r="K232" s="497">
        <v>0.11</v>
      </c>
      <c r="L232" s="772">
        <v>0</v>
      </c>
      <c r="M232" s="772">
        <v>0</v>
      </c>
      <c r="N232" s="144">
        <v>0</v>
      </c>
      <c r="O232" s="727">
        <v>0</v>
      </c>
      <c r="P232" s="727">
        <v>0</v>
      </c>
      <c r="R232" s="580"/>
      <c r="S232" s="580"/>
      <c r="T232" s="580"/>
    </row>
    <row r="233" customHeight="1" outlineLevel="3" collapsed="1" spans="1:20">
      <c r="A233" s="581"/>
      <c r="B233" s="786" t="s">
        <v>1138</v>
      </c>
      <c r="C233" s="612" t="s">
        <v>622</v>
      </c>
      <c r="D233" s="763" t="s">
        <v>1139</v>
      </c>
      <c r="E233" s="479"/>
      <c r="F233" s="479"/>
      <c r="G233" s="375"/>
      <c r="H233" s="765"/>
      <c r="I233" s="375"/>
      <c r="J233" s="776"/>
      <c r="K233" s="776"/>
      <c r="L233" s="772">
        <v>0</v>
      </c>
      <c r="M233" s="772">
        <v>0</v>
      </c>
      <c r="N233" s="492">
        <v>0</v>
      </c>
      <c r="O233" s="545">
        <v>0</v>
      </c>
      <c r="P233" s="492">
        <v>0</v>
      </c>
      <c r="R233" s="580"/>
      <c r="S233" s="580"/>
      <c r="T233" s="580"/>
    </row>
    <row r="234" customHeight="1" outlineLevel="3" spans="1:20">
      <c r="A234" s="581"/>
      <c r="B234" s="786" t="s">
        <v>1140</v>
      </c>
      <c r="C234" s="612"/>
      <c r="D234" s="763" t="s">
        <v>1141</v>
      </c>
      <c r="E234" s="479" t="s">
        <v>1142</v>
      </c>
      <c r="F234" s="479"/>
      <c r="G234" s="375"/>
      <c r="H234" s="765"/>
      <c r="I234" s="375"/>
      <c r="J234" s="776"/>
      <c r="K234" s="497">
        <v>0.11</v>
      </c>
      <c r="L234" s="772">
        <v>0</v>
      </c>
      <c r="M234" s="772">
        <v>0</v>
      </c>
      <c r="N234" s="144">
        <v>0</v>
      </c>
      <c r="O234" s="144">
        <v>0</v>
      </c>
      <c r="P234" s="650">
        <v>0</v>
      </c>
      <c r="R234" s="580"/>
      <c r="S234" s="580"/>
      <c r="T234" s="580"/>
    </row>
    <row r="235" customHeight="1" outlineLevel="3" spans="1:20">
      <c r="A235" s="581"/>
      <c r="B235" s="786" t="s">
        <v>1143</v>
      </c>
      <c r="C235" s="612" t="s">
        <v>622</v>
      </c>
      <c r="D235" s="763" t="s">
        <v>1144</v>
      </c>
      <c r="E235" s="479" t="s">
        <v>1133</v>
      </c>
      <c r="F235" s="479" t="s">
        <v>1100</v>
      </c>
      <c r="G235" s="764">
        <v>1</v>
      </c>
      <c r="H235" s="765" t="s">
        <v>655</v>
      </c>
      <c r="I235" s="1151">
        <v>273546.150452951</v>
      </c>
      <c r="J235" s="776">
        <v>2</v>
      </c>
      <c r="K235" s="497">
        <v>0.11</v>
      </c>
      <c r="L235" s="772">
        <v>54.7092300905903</v>
      </c>
      <c r="M235" s="772">
        <v>6.01801530996493</v>
      </c>
      <c r="N235" s="475">
        <v>60.7272454005552</v>
      </c>
      <c r="O235" s="727">
        <v>2.98575374406584</v>
      </c>
      <c r="P235" s="727">
        <v>60.7272454005552</v>
      </c>
      <c r="R235" s="580"/>
      <c r="S235" s="580"/>
      <c r="T235" s="580"/>
    </row>
    <row r="236" customHeight="1" outlineLevel="3" spans="1:20">
      <c r="A236" s="581"/>
      <c r="B236" s="786" t="s">
        <v>1145</v>
      </c>
      <c r="C236" s="612" t="s">
        <v>622</v>
      </c>
      <c r="D236" s="763" t="s">
        <v>1146</v>
      </c>
      <c r="E236" s="479" t="s">
        <v>1147</v>
      </c>
      <c r="F236" s="479" t="s">
        <v>1100</v>
      </c>
      <c r="G236" s="764">
        <v>1</v>
      </c>
      <c r="H236" s="765" t="s">
        <v>655</v>
      </c>
      <c r="I236" s="301">
        <v>273546.150452951</v>
      </c>
      <c r="J236" s="776">
        <v>4</v>
      </c>
      <c r="K236" s="497">
        <v>0.03</v>
      </c>
      <c r="L236" s="772">
        <v>109.418460181181</v>
      </c>
      <c r="M236" s="772">
        <v>3.28255380543541</v>
      </c>
      <c r="N236" s="475">
        <v>112.701013986616</v>
      </c>
      <c r="O236" s="727">
        <v>5.54112857006814</v>
      </c>
      <c r="P236" s="727">
        <v>112.701013986616</v>
      </c>
      <c r="R236" s="580"/>
      <c r="S236" s="580"/>
      <c r="T236" s="580"/>
    </row>
    <row r="237" customHeight="1" outlineLevel="3" spans="1:20">
      <c r="A237" s="581"/>
      <c r="B237" s="786" t="s">
        <v>1148</v>
      </c>
      <c r="C237" s="612" t="s">
        <v>622</v>
      </c>
      <c r="D237" s="763" t="s">
        <v>1149</v>
      </c>
      <c r="E237" s="766" t="s">
        <v>1150</v>
      </c>
      <c r="F237" s="479" t="s">
        <v>1100</v>
      </c>
      <c r="G237" s="764">
        <v>1</v>
      </c>
      <c r="H237" s="765" t="s">
        <v>655</v>
      </c>
      <c r="I237" s="301">
        <v>273546.150452951</v>
      </c>
      <c r="J237" s="776">
        <v>1.2</v>
      </c>
      <c r="K237" s="497">
        <v>0.13</v>
      </c>
      <c r="L237" s="772">
        <v>32.8255380543541</v>
      </c>
      <c r="M237" s="772">
        <v>4.26731994706604</v>
      </c>
      <c r="N237" s="475">
        <v>37.0928580014202</v>
      </c>
      <c r="O237" s="727">
        <v>1.82373066529427</v>
      </c>
      <c r="P237" s="727">
        <v>37.0928580014202</v>
      </c>
      <c r="R237" s="580"/>
      <c r="S237" s="580"/>
      <c r="T237" s="580"/>
    </row>
    <row r="238" customHeight="1" outlineLevel="1" spans="1:20">
      <c r="A238" s="581"/>
      <c r="B238" s="1817" t="s">
        <v>575</v>
      </c>
      <c r="C238" s="596">
        <v>4</v>
      </c>
      <c r="D238" s="1230" t="s">
        <v>576</v>
      </c>
      <c r="E238" s="506"/>
      <c r="F238" s="1231"/>
      <c r="G238" s="770"/>
      <c r="H238" s="762"/>
      <c r="I238" s="769"/>
      <c r="J238" s="1249"/>
      <c r="K238" s="1249"/>
      <c r="L238" s="545">
        <v>1540.31531531532</v>
      </c>
      <c r="M238" s="545">
        <v>169.434684684685</v>
      </c>
      <c r="N238" s="545">
        <v>1709.75</v>
      </c>
      <c r="O238" s="645">
        <v>84.0626382811348</v>
      </c>
      <c r="P238" s="645">
        <v>1709.75</v>
      </c>
      <c r="R238" s="580"/>
      <c r="S238" s="580"/>
      <c r="T238" s="580"/>
    </row>
    <row r="239" customHeight="1" outlineLevel="2" spans="1:20">
      <c r="A239" s="581"/>
      <c r="B239" s="786" t="s">
        <v>1151</v>
      </c>
      <c r="C239" s="787" t="s">
        <v>1078</v>
      </c>
      <c r="D239" s="763" t="s">
        <v>1152</v>
      </c>
      <c r="E239" s="766"/>
      <c r="F239" s="370"/>
      <c r="G239" s="375"/>
      <c r="H239" s="765"/>
      <c r="I239" s="375"/>
      <c r="J239" s="772"/>
      <c r="K239" s="772"/>
      <c r="L239" s="772">
        <v>1283.78378378378</v>
      </c>
      <c r="M239" s="772">
        <v>141.216216216216</v>
      </c>
      <c r="N239" s="475">
        <v>1425</v>
      </c>
      <c r="O239" s="727">
        <v>70.062441614632</v>
      </c>
      <c r="P239" s="727">
        <v>1425</v>
      </c>
      <c r="R239" s="580"/>
      <c r="S239" s="580"/>
      <c r="T239" s="580"/>
    </row>
    <row r="240" customHeight="1" outlineLevel="3" spans="1:20">
      <c r="A240" s="581"/>
      <c r="B240" s="786" t="s">
        <v>1153</v>
      </c>
      <c r="C240" s="612" t="s">
        <v>622</v>
      </c>
      <c r="D240" s="763" t="s">
        <v>1154</v>
      </c>
      <c r="E240" s="766" t="s">
        <v>1155</v>
      </c>
      <c r="F240" s="370" t="s">
        <v>1156</v>
      </c>
      <c r="G240" s="375">
        <v>1</v>
      </c>
      <c r="H240" s="765" t="s">
        <v>655</v>
      </c>
      <c r="I240" s="375">
        <v>1500</v>
      </c>
      <c r="J240" s="772">
        <v>8558.55855855856</v>
      </c>
      <c r="K240" s="497">
        <v>0.11</v>
      </c>
      <c r="L240" s="772">
        <v>1283.78378378378</v>
      </c>
      <c r="M240" s="772">
        <v>141.216216216216</v>
      </c>
      <c r="N240" s="144">
        <v>1425</v>
      </c>
      <c r="O240" s="727">
        <v>70.062441614632</v>
      </c>
      <c r="P240" s="727">
        <v>1425</v>
      </c>
      <c r="R240" s="580"/>
      <c r="S240" s="580"/>
      <c r="T240" s="580"/>
    </row>
    <row r="241" customHeight="1" outlineLevel="3" spans="1:20">
      <c r="A241" s="581"/>
      <c r="B241" s="786" t="s">
        <v>1157</v>
      </c>
      <c r="C241" s="612" t="s">
        <v>622</v>
      </c>
      <c r="D241" s="763" t="s">
        <v>1158</v>
      </c>
      <c r="E241" s="766"/>
      <c r="F241" s="290"/>
      <c r="G241" s="475"/>
      <c r="H241" s="375"/>
      <c r="I241" s="301"/>
      <c r="J241" s="776"/>
      <c r="K241" s="497">
        <v>0.11</v>
      </c>
      <c r="L241" s="772">
        <v>0</v>
      </c>
      <c r="M241" s="772">
        <v>0</v>
      </c>
      <c r="N241" s="475">
        <v>0</v>
      </c>
      <c r="O241" s="727">
        <v>0</v>
      </c>
      <c r="P241" s="727">
        <v>0</v>
      </c>
      <c r="R241" s="580"/>
      <c r="S241" s="580"/>
      <c r="T241" s="580"/>
    </row>
    <row r="242" customHeight="1" outlineLevel="3" spans="1:20">
      <c r="A242" s="581"/>
      <c r="B242" s="786" t="s">
        <v>1159</v>
      </c>
      <c r="C242" s="612" t="s">
        <v>622</v>
      </c>
      <c r="D242" s="763" t="s">
        <v>1160</v>
      </c>
      <c r="E242" s="766"/>
      <c r="F242" s="290"/>
      <c r="G242" s="475"/>
      <c r="H242" s="375"/>
      <c r="I242" s="301"/>
      <c r="J242" s="776"/>
      <c r="K242" s="497">
        <v>0.11</v>
      </c>
      <c r="L242" s="772">
        <v>0</v>
      </c>
      <c r="M242" s="772">
        <v>0</v>
      </c>
      <c r="N242" s="475">
        <v>0</v>
      </c>
      <c r="O242" s="727">
        <v>0</v>
      </c>
      <c r="P242" s="727">
        <v>0</v>
      </c>
      <c r="R242" s="580"/>
      <c r="S242" s="580"/>
      <c r="T242" s="580"/>
    </row>
    <row r="243" customHeight="1" outlineLevel="3" spans="1:20">
      <c r="A243" s="581"/>
      <c r="B243" s="786" t="s">
        <v>1161</v>
      </c>
      <c r="C243" s="612" t="s">
        <v>622</v>
      </c>
      <c r="D243" s="763" t="s">
        <v>1162</v>
      </c>
      <c r="E243" s="766"/>
      <c r="F243" s="290"/>
      <c r="G243" s="475"/>
      <c r="H243" s="375"/>
      <c r="I243" s="301"/>
      <c r="J243" s="776"/>
      <c r="K243" s="497">
        <v>0.11</v>
      </c>
      <c r="L243" s="772">
        <v>0</v>
      </c>
      <c r="M243" s="772">
        <v>0</v>
      </c>
      <c r="N243" s="475">
        <v>0</v>
      </c>
      <c r="O243" s="727">
        <v>0</v>
      </c>
      <c r="P243" s="727">
        <v>0</v>
      </c>
      <c r="R243" s="580"/>
      <c r="S243" s="580"/>
      <c r="T243" s="580"/>
    </row>
    <row r="244" customHeight="1" outlineLevel="3" spans="1:20">
      <c r="A244" s="581"/>
      <c r="B244" s="786" t="s">
        <v>1163</v>
      </c>
      <c r="C244" s="612" t="s">
        <v>622</v>
      </c>
      <c r="D244" s="763" t="s">
        <v>1164</v>
      </c>
      <c r="E244" s="766"/>
      <c r="F244" s="290"/>
      <c r="G244" s="475"/>
      <c r="H244" s="375"/>
      <c r="I244" s="301"/>
      <c r="J244" s="776"/>
      <c r="K244" s="497">
        <v>0.11</v>
      </c>
      <c r="L244" s="772">
        <v>0</v>
      </c>
      <c r="M244" s="772">
        <v>0</v>
      </c>
      <c r="N244" s="475">
        <v>0</v>
      </c>
      <c r="O244" s="727">
        <v>0</v>
      </c>
      <c r="P244" s="727">
        <v>0</v>
      </c>
      <c r="R244" s="580"/>
      <c r="S244" s="580"/>
      <c r="T244" s="580"/>
    </row>
    <row r="245" customHeight="1" outlineLevel="3" spans="1:20">
      <c r="A245" s="581"/>
      <c r="B245" s="786" t="s">
        <v>1165</v>
      </c>
      <c r="C245" s="612" t="s">
        <v>622</v>
      </c>
      <c r="D245" s="763" t="s">
        <v>1166</v>
      </c>
      <c r="E245" s="766"/>
      <c r="F245" s="290"/>
      <c r="G245" s="475"/>
      <c r="H245" s="375"/>
      <c r="I245" s="301"/>
      <c r="J245" s="776"/>
      <c r="K245" s="497">
        <v>0.11</v>
      </c>
      <c r="L245" s="772">
        <v>0</v>
      </c>
      <c r="M245" s="772">
        <v>0</v>
      </c>
      <c r="N245" s="475">
        <v>0</v>
      </c>
      <c r="O245" s="727">
        <v>0</v>
      </c>
      <c r="P245" s="727">
        <v>0</v>
      </c>
      <c r="R245" s="580"/>
      <c r="S245" s="580"/>
      <c r="T245" s="580"/>
    </row>
    <row r="246" customHeight="1" outlineLevel="2" spans="1:20">
      <c r="A246" s="581"/>
      <c r="B246" s="786" t="s">
        <v>1167</v>
      </c>
      <c r="C246" s="787" t="s">
        <v>657</v>
      </c>
      <c r="D246" s="763" t="s">
        <v>1168</v>
      </c>
      <c r="E246" s="766" t="s">
        <v>1169</v>
      </c>
      <c r="F246" s="290"/>
      <c r="G246" s="375"/>
      <c r="H246" s="765"/>
      <c r="I246" s="375"/>
      <c r="J246" s="772"/>
      <c r="K246" s="772"/>
      <c r="L246" s="772">
        <v>256.531531531532</v>
      </c>
      <c r="M246" s="772">
        <v>28.2184684684685</v>
      </c>
      <c r="N246" s="475">
        <v>284.75</v>
      </c>
      <c r="O246" s="727">
        <v>14.0001966665028</v>
      </c>
      <c r="P246" s="727">
        <v>284.75</v>
      </c>
      <c r="R246" s="580"/>
      <c r="S246" s="580"/>
      <c r="T246" s="580"/>
    </row>
    <row r="247" customHeight="1" outlineLevel="3" spans="1:20">
      <c r="A247" s="581"/>
      <c r="B247" s="786" t="s">
        <v>1170</v>
      </c>
      <c r="C247" s="612" t="s">
        <v>622</v>
      </c>
      <c r="D247" s="763" t="s">
        <v>1171</v>
      </c>
      <c r="E247" s="766"/>
      <c r="F247" s="290" t="s">
        <v>1172</v>
      </c>
      <c r="G247" s="375">
        <v>1</v>
      </c>
      <c r="H247" s="765" t="s">
        <v>655</v>
      </c>
      <c r="I247" s="1246">
        <v>425</v>
      </c>
      <c r="J247" s="772">
        <v>6036.03603603604</v>
      </c>
      <c r="K247" s="497">
        <v>0.11</v>
      </c>
      <c r="L247" s="772">
        <v>256.531531531532</v>
      </c>
      <c r="M247" s="772">
        <v>28.2184684684685</v>
      </c>
      <c r="N247" s="144">
        <v>284.75</v>
      </c>
      <c r="O247" s="144">
        <v>14.0001966665028</v>
      </c>
      <c r="P247" s="650">
        <v>284.75</v>
      </c>
      <c r="R247" s="580"/>
      <c r="S247" s="580"/>
      <c r="T247" s="580"/>
    </row>
    <row r="248" customHeight="1" outlineLevel="3" spans="1:20">
      <c r="A248" s="581"/>
      <c r="B248" s="786" t="s">
        <v>1173</v>
      </c>
      <c r="C248" s="612" t="s">
        <v>622</v>
      </c>
      <c r="D248" s="763" t="s">
        <v>1174</v>
      </c>
      <c r="E248" s="766"/>
      <c r="F248" s="375"/>
      <c r="G248" s="475"/>
      <c r="H248" s="375"/>
      <c r="I248" s="301"/>
      <c r="J248" s="776"/>
      <c r="K248" s="497">
        <v>0.11</v>
      </c>
      <c r="L248" s="772">
        <v>0</v>
      </c>
      <c r="M248" s="772">
        <v>0</v>
      </c>
      <c r="N248" s="144">
        <v>0</v>
      </c>
      <c r="O248" s="727">
        <v>0</v>
      </c>
      <c r="P248" s="727">
        <v>0</v>
      </c>
      <c r="R248" s="580"/>
      <c r="S248" s="580"/>
      <c r="T248" s="580"/>
    </row>
    <row r="249" customHeight="1" outlineLevel="3" spans="1:20">
      <c r="A249" s="581"/>
      <c r="B249" s="786" t="s">
        <v>1175</v>
      </c>
      <c r="C249" s="612" t="s">
        <v>622</v>
      </c>
      <c r="D249" s="763" t="s">
        <v>1176</v>
      </c>
      <c r="E249" s="766"/>
      <c r="F249" s="375"/>
      <c r="G249" s="475"/>
      <c r="H249" s="375"/>
      <c r="I249" s="301"/>
      <c r="J249" s="776"/>
      <c r="K249" s="497">
        <v>0.11</v>
      </c>
      <c r="L249" s="772">
        <v>0</v>
      </c>
      <c r="M249" s="772">
        <v>0</v>
      </c>
      <c r="N249" s="144">
        <v>0</v>
      </c>
      <c r="O249" s="727">
        <v>0</v>
      </c>
      <c r="P249" s="727">
        <v>0</v>
      </c>
      <c r="R249" s="580"/>
      <c r="S249" s="580"/>
      <c r="T249" s="580"/>
    </row>
    <row r="250" customHeight="1" outlineLevel="3" spans="1:20">
      <c r="A250" s="581"/>
      <c r="B250" s="786" t="s">
        <v>1177</v>
      </c>
      <c r="C250" s="612" t="s">
        <v>622</v>
      </c>
      <c r="D250" s="763" t="s">
        <v>1178</v>
      </c>
      <c r="E250" s="766"/>
      <c r="F250" s="375"/>
      <c r="G250" s="475"/>
      <c r="H250" s="375"/>
      <c r="I250" s="301"/>
      <c r="J250" s="776"/>
      <c r="K250" s="497">
        <v>0.11</v>
      </c>
      <c r="L250" s="772">
        <v>0</v>
      </c>
      <c r="M250" s="772">
        <v>0</v>
      </c>
      <c r="N250" s="144">
        <v>0</v>
      </c>
      <c r="O250" s="727">
        <v>0</v>
      </c>
      <c r="P250" s="727">
        <v>0</v>
      </c>
      <c r="R250" s="580"/>
      <c r="S250" s="580"/>
      <c r="T250" s="580"/>
    </row>
    <row r="251" customHeight="1" outlineLevel="3" spans="1:20">
      <c r="A251" s="581"/>
      <c r="B251" s="786" t="s">
        <v>1179</v>
      </c>
      <c r="C251" s="612" t="s">
        <v>622</v>
      </c>
      <c r="D251" s="763" t="s">
        <v>1180</v>
      </c>
      <c r="E251" s="766"/>
      <c r="F251" s="375"/>
      <c r="G251" s="475"/>
      <c r="H251" s="375"/>
      <c r="I251" s="301"/>
      <c r="J251" s="776"/>
      <c r="K251" s="497">
        <v>0.11</v>
      </c>
      <c r="L251" s="772">
        <v>0</v>
      </c>
      <c r="M251" s="772">
        <v>0</v>
      </c>
      <c r="N251" s="475">
        <v>0</v>
      </c>
      <c r="O251" s="727">
        <v>0</v>
      </c>
      <c r="P251" s="727">
        <v>0</v>
      </c>
      <c r="R251" s="580"/>
      <c r="S251" s="580"/>
      <c r="T251" s="580"/>
    </row>
    <row r="252" customHeight="1" outlineLevel="3" spans="1:20">
      <c r="A252" s="581"/>
      <c r="B252" s="786" t="s">
        <v>1181</v>
      </c>
      <c r="C252" s="612" t="s">
        <v>622</v>
      </c>
      <c r="D252" s="763" t="s">
        <v>1182</v>
      </c>
      <c r="E252" s="766"/>
      <c r="F252" s="375"/>
      <c r="G252" s="475"/>
      <c r="H252" s="375"/>
      <c r="I252" s="301"/>
      <c r="J252" s="776"/>
      <c r="K252" s="497">
        <v>0.11</v>
      </c>
      <c r="L252" s="772">
        <v>0</v>
      </c>
      <c r="M252" s="772">
        <v>0</v>
      </c>
      <c r="N252" s="475">
        <v>0</v>
      </c>
      <c r="O252" s="727">
        <v>0</v>
      </c>
      <c r="P252" s="727">
        <v>0</v>
      </c>
      <c r="R252" s="580"/>
      <c r="S252" s="580"/>
      <c r="T252" s="580"/>
    </row>
    <row r="253" customHeight="1" outlineLevel="2" spans="1:20">
      <c r="A253" s="581"/>
      <c r="B253" s="786" t="s">
        <v>1183</v>
      </c>
      <c r="C253" s="787" t="s">
        <v>762</v>
      </c>
      <c r="D253" s="763" t="s">
        <v>1184</v>
      </c>
      <c r="E253" s="766" t="s">
        <v>1185</v>
      </c>
      <c r="F253" s="370"/>
      <c r="G253" s="375"/>
      <c r="H253" s="765"/>
      <c r="I253" s="375"/>
      <c r="J253" s="772"/>
      <c r="K253" s="772"/>
      <c r="L253" s="772">
        <v>0</v>
      </c>
      <c r="M253" s="772">
        <v>0</v>
      </c>
      <c r="N253" s="811">
        <v>0</v>
      </c>
      <c r="O253" s="545">
        <v>0</v>
      </c>
      <c r="P253" s="545">
        <v>0</v>
      </c>
      <c r="R253" s="580"/>
      <c r="S253" s="580"/>
      <c r="T253" s="580"/>
    </row>
    <row r="254" customHeight="1" outlineLevel="3" collapsed="1" spans="1:20">
      <c r="A254" s="581"/>
      <c r="B254" s="786" t="s">
        <v>1186</v>
      </c>
      <c r="C254" s="612" t="s">
        <v>622</v>
      </c>
      <c r="D254" s="763" t="s">
        <v>1187</v>
      </c>
      <c r="E254" s="766"/>
      <c r="F254" s="717"/>
      <c r="G254" s="144"/>
      <c r="H254" s="717"/>
      <c r="I254" s="717"/>
      <c r="J254" s="809"/>
      <c r="K254" s="497">
        <v>0.11</v>
      </c>
      <c r="L254" s="772">
        <v>0</v>
      </c>
      <c r="M254" s="772">
        <v>0</v>
      </c>
      <c r="N254" s="492">
        <v>0</v>
      </c>
      <c r="O254" s="545">
        <v>0</v>
      </c>
      <c r="P254" s="492">
        <v>0</v>
      </c>
      <c r="R254" s="580"/>
      <c r="S254" s="580"/>
      <c r="T254" s="580"/>
    </row>
    <row r="255" customHeight="1" outlineLevel="3" collapsed="1" spans="1:20">
      <c r="A255" s="581"/>
      <c r="B255" s="786" t="s">
        <v>1188</v>
      </c>
      <c r="C255" s="612" t="s">
        <v>622</v>
      </c>
      <c r="D255" s="763" t="s">
        <v>1189</v>
      </c>
      <c r="E255" s="766"/>
      <c r="F255" s="717"/>
      <c r="G255" s="144"/>
      <c r="H255" s="717"/>
      <c r="I255" s="717"/>
      <c r="J255" s="809"/>
      <c r="K255" s="497">
        <v>0.11</v>
      </c>
      <c r="L255" s="772">
        <v>0</v>
      </c>
      <c r="M255" s="772">
        <v>0</v>
      </c>
      <c r="N255" s="144">
        <v>0</v>
      </c>
      <c r="O255" s="144">
        <v>0</v>
      </c>
      <c r="P255" s="650">
        <v>0</v>
      </c>
      <c r="R255" s="580"/>
      <c r="S255" s="580"/>
      <c r="T255" s="580"/>
    </row>
    <row r="256" customHeight="1" outlineLevel="2" collapsed="1" spans="1:20">
      <c r="A256" s="581"/>
      <c r="B256" s="786" t="s">
        <v>1190</v>
      </c>
      <c r="C256" s="787" t="s">
        <v>778</v>
      </c>
      <c r="D256" s="763" t="s">
        <v>1191</v>
      </c>
      <c r="E256" s="766" t="s">
        <v>1192</v>
      </c>
      <c r="F256" s="290"/>
      <c r="G256" s="375">
        <v>1</v>
      </c>
      <c r="H256" s="765"/>
      <c r="I256" s="375">
        <v>10000</v>
      </c>
      <c r="J256" s="772"/>
      <c r="K256" s="772"/>
      <c r="L256" s="772">
        <v>0</v>
      </c>
      <c r="M256" s="772">
        <v>0</v>
      </c>
      <c r="N256" s="144">
        <v>0</v>
      </c>
      <c r="O256" s="144">
        <v>0</v>
      </c>
      <c r="P256" s="650">
        <v>0</v>
      </c>
      <c r="R256" s="580"/>
      <c r="S256" s="580"/>
      <c r="T256" s="580"/>
    </row>
    <row r="257" customHeight="1" outlineLevel="2" spans="1:20">
      <c r="A257" s="581"/>
      <c r="B257" s="786" t="s">
        <v>1193</v>
      </c>
      <c r="C257" s="612" t="s">
        <v>622</v>
      </c>
      <c r="D257" s="763" t="s">
        <v>1194</v>
      </c>
      <c r="E257" s="766"/>
      <c r="F257" s="290"/>
      <c r="G257" s="475"/>
      <c r="H257" s="375"/>
      <c r="I257" s="301"/>
      <c r="J257" s="776"/>
      <c r="K257" s="497">
        <v>0.11</v>
      </c>
      <c r="L257" s="772">
        <v>0</v>
      </c>
      <c r="M257" s="772">
        <v>0</v>
      </c>
      <c r="N257" s="1204">
        <v>0</v>
      </c>
      <c r="O257" s="1204">
        <v>0</v>
      </c>
      <c r="P257" s="1204">
        <v>0</v>
      </c>
      <c r="R257" s="580"/>
      <c r="S257" s="580"/>
      <c r="T257" s="580"/>
    </row>
    <row r="258" customHeight="1" outlineLevel="2" collapsed="1" spans="2:20">
      <c r="B258" s="786" t="s">
        <v>1195</v>
      </c>
      <c r="C258" s="612" t="s">
        <v>622</v>
      </c>
      <c r="D258" s="763" t="s">
        <v>1196</v>
      </c>
      <c r="E258" s="766"/>
      <c r="F258" s="290"/>
      <c r="G258" s="475"/>
      <c r="H258" s="375"/>
      <c r="I258" s="301"/>
      <c r="J258" s="776"/>
      <c r="K258" s="497">
        <v>0.11</v>
      </c>
      <c r="L258" s="772">
        <v>0</v>
      </c>
      <c r="M258" s="772">
        <v>0</v>
      </c>
      <c r="N258" s="478">
        <v>0</v>
      </c>
      <c r="O258" s="40">
        <v>0</v>
      </c>
      <c r="P258" s="40">
        <v>0</v>
      </c>
      <c r="T258" s="580"/>
    </row>
    <row r="259" customHeight="1" outlineLevel="1" collapsed="1" spans="1:20">
      <c r="A259" s="581"/>
      <c r="B259" s="1817" t="s">
        <v>577</v>
      </c>
      <c r="C259" s="596">
        <v>5</v>
      </c>
      <c r="D259" s="1230" t="s">
        <v>578</v>
      </c>
      <c r="E259" s="506" t="s">
        <v>1197</v>
      </c>
      <c r="F259" s="1231"/>
      <c r="G259" s="770">
        <v>1</v>
      </c>
      <c r="H259" s="762"/>
      <c r="I259" s="769">
        <v>273546.150452951</v>
      </c>
      <c r="J259" s="1249">
        <v>19</v>
      </c>
      <c r="K259" s="493">
        <v>0.06</v>
      </c>
      <c r="L259" s="545">
        <v>519.737685860607</v>
      </c>
      <c r="M259" s="545">
        <v>31.1842611516364</v>
      </c>
      <c r="N259" s="545">
        <v>550.921947012244</v>
      </c>
      <c r="O259" s="645">
        <v>27.0869731556244</v>
      </c>
      <c r="P259" s="645">
        <v>550.921947012244</v>
      </c>
      <c r="Q259" s="580" t="s">
        <v>1198</v>
      </c>
      <c r="R259" s="580"/>
      <c r="S259" s="580"/>
      <c r="T259" s="580"/>
    </row>
    <row r="260" customHeight="1" outlineLevel="1" spans="1:20">
      <c r="A260" s="581"/>
      <c r="B260" s="1817" t="s">
        <v>580</v>
      </c>
      <c r="C260" s="596">
        <v>6</v>
      </c>
      <c r="D260" s="1230" t="s">
        <v>581</v>
      </c>
      <c r="E260" s="506"/>
      <c r="F260" s="1231"/>
      <c r="G260" s="770"/>
      <c r="H260" s="762"/>
      <c r="I260" s="769"/>
      <c r="J260" s="1249"/>
      <c r="K260" s="1249"/>
      <c r="L260" s="545">
        <v>300.900765498246</v>
      </c>
      <c r="M260" s="545">
        <v>18.0540459298948</v>
      </c>
      <c r="N260" s="545">
        <v>318.954811428141</v>
      </c>
      <c r="O260" s="645">
        <v>15.6819318269404</v>
      </c>
      <c r="P260" s="645">
        <v>318.954811428141</v>
      </c>
      <c r="Q260" s="580" t="s">
        <v>1199</v>
      </c>
      <c r="R260" s="580"/>
      <c r="S260" s="580"/>
      <c r="T260" s="580"/>
    </row>
    <row r="261" customHeight="1" outlineLevel="2" spans="2:16">
      <c r="B261" s="786" t="s">
        <v>1200</v>
      </c>
      <c r="C261" s="787" t="s">
        <v>619</v>
      </c>
      <c r="D261" s="790" t="s">
        <v>1201</v>
      </c>
      <c r="E261" s="791"/>
      <c r="F261" s="370"/>
      <c r="G261" s="764"/>
      <c r="H261" s="765"/>
      <c r="I261" s="765"/>
      <c r="J261" s="772"/>
      <c r="K261" s="497"/>
      <c r="L261" s="772">
        <v>0</v>
      </c>
      <c r="M261" s="772">
        <v>0</v>
      </c>
      <c r="N261" s="40">
        <v>0</v>
      </c>
      <c r="O261" s="40">
        <v>0</v>
      </c>
      <c r="P261" s="40">
        <v>0</v>
      </c>
    </row>
    <row r="262" customHeight="1" outlineLevel="2" spans="2:16">
      <c r="B262" s="786" t="s">
        <v>1202</v>
      </c>
      <c r="C262" s="787" t="s">
        <v>657</v>
      </c>
      <c r="D262" s="790" t="s">
        <v>1203</v>
      </c>
      <c r="E262" s="791" t="s">
        <v>1204</v>
      </c>
      <c r="F262" s="370" t="s">
        <v>505</v>
      </c>
      <c r="G262" s="764">
        <v>1</v>
      </c>
      <c r="H262" s="765" t="s">
        <v>655</v>
      </c>
      <c r="I262" s="765">
        <v>273546.150452951</v>
      </c>
      <c r="J262" s="772">
        <v>11</v>
      </c>
      <c r="K262" s="497">
        <v>0.06</v>
      </c>
      <c r="L262" s="772">
        <v>300.900765498246</v>
      </c>
      <c r="M262" s="772">
        <v>18.0540459298948</v>
      </c>
      <c r="N262" s="40">
        <v>318.954811428141</v>
      </c>
      <c r="O262" s="40">
        <v>15.6819318269404</v>
      </c>
      <c r="P262" s="40">
        <v>318.954811428141</v>
      </c>
    </row>
    <row r="263" s="581" customFormat="1" customHeight="1" outlineLevel="2" spans="2:19">
      <c r="B263" s="786" t="s">
        <v>1205</v>
      </c>
      <c r="C263" s="787" t="s">
        <v>762</v>
      </c>
      <c r="D263" s="792" t="s">
        <v>1206</v>
      </c>
      <c r="E263" s="793"/>
      <c r="F263" s="370"/>
      <c r="G263" s="764"/>
      <c r="H263" s="765"/>
      <c r="I263" s="765"/>
      <c r="J263" s="772"/>
      <c r="K263" s="814">
        <v>0.11</v>
      </c>
      <c r="L263" s="772">
        <v>0</v>
      </c>
      <c r="M263" s="772">
        <v>0</v>
      </c>
      <c r="N263" s="144">
        <v>0</v>
      </c>
      <c r="O263" s="144">
        <v>0</v>
      </c>
      <c r="P263" s="144">
        <v>0</v>
      </c>
      <c r="R263" s="1274"/>
      <c r="S263" s="1275"/>
    </row>
    <row r="264" s="581" customFormat="1" customHeight="1" outlineLevel="2" spans="2:19">
      <c r="B264" s="786" t="s">
        <v>1207</v>
      </c>
      <c r="C264" s="787" t="s">
        <v>778</v>
      </c>
      <c r="D264" s="792" t="s">
        <v>1208</v>
      </c>
      <c r="E264" s="793"/>
      <c r="F264" s="370"/>
      <c r="G264" s="764"/>
      <c r="H264" s="765"/>
      <c r="I264" s="765"/>
      <c r="J264" s="772"/>
      <c r="K264" s="814">
        <v>0.06</v>
      </c>
      <c r="L264" s="772">
        <v>0</v>
      </c>
      <c r="M264" s="772">
        <v>0</v>
      </c>
      <c r="N264" s="144">
        <v>0</v>
      </c>
      <c r="O264" s="144">
        <v>0</v>
      </c>
      <c r="P264" s="144">
        <v>0</v>
      </c>
      <c r="R264" s="1274"/>
      <c r="S264" s="1275"/>
    </row>
    <row r="265" s="581" customFormat="1" customHeight="1" outlineLevel="2" spans="2:19">
      <c r="B265" s="786" t="s">
        <v>1209</v>
      </c>
      <c r="C265" s="787" t="s">
        <v>781</v>
      </c>
      <c r="D265" s="792" t="s">
        <v>1210</v>
      </c>
      <c r="E265" s="793"/>
      <c r="F265" s="370"/>
      <c r="G265" s="764"/>
      <c r="H265" s="765"/>
      <c r="I265" s="765"/>
      <c r="J265" s="772"/>
      <c r="K265" s="814">
        <v>0.06</v>
      </c>
      <c r="L265" s="772">
        <v>0</v>
      </c>
      <c r="M265" s="772">
        <v>0</v>
      </c>
      <c r="N265" s="144">
        <v>0</v>
      </c>
      <c r="O265" s="144">
        <v>0</v>
      </c>
      <c r="P265" s="144">
        <v>0</v>
      </c>
      <c r="R265" s="1274"/>
      <c r="S265" s="1275"/>
    </row>
    <row r="266" s="581" customFormat="1" customHeight="1" outlineLevel="2" spans="2:19">
      <c r="B266" s="786" t="s">
        <v>1211</v>
      </c>
      <c r="C266" s="787" t="s">
        <v>788</v>
      </c>
      <c r="D266" s="792" t="s">
        <v>1212</v>
      </c>
      <c r="E266" s="793"/>
      <c r="F266" s="370"/>
      <c r="G266" s="764"/>
      <c r="H266" s="765"/>
      <c r="I266" s="765"/>
      <c r="J266" s="772"/>
      <c r="K266" s="814">
        <v>0.11</v>
      </c>
      <c r="L266" s="772">
        <v>0</v>
      </c>
      <c r="M266" s="772">
        <v>0</v>
      </c>
      <c r="N266" s="144">
        <v>0</v>
      </c>
      <c r="O266" s="144">
        <v>0</v>
      </c>
      <c r="P266" s="144">
        <v>0</v>
      </c>
      <c r="R266" s="1274"/>
      <c r="S266" s="1275"/>
    </row>
    <row r="267" s="581" customFormat="1" customHeight="1" outlineLevel="2" spans="2:19">
      <c r="B267" s="786" t="s">
        <v>1213</v>
      </c>
      <c r="C267" s="787" t="s">
        <v>791</v>
      </c>
      <c r="D267" s="792" t="s">
        <v>1214</v>
      </c>
      <c r="E267" s="793"/>
      <c r="F267" s="370"/>
      <c r="G267" s="764"/>
      <c r="H267" s="765"/>
      <c r="I267" s="765"/>
      <c r="J267" s="772"/>
      <c r="K267" s="814"/>
      <c r="L267" s="772">
        <v>0</v>
      </c>
      <c r="M267" s="772">
        <v>0</v>
      </c>
      <c r="N267" s="144">
        <v>0</v>
      </c>
      <c r="O267" s="144">
        <v>0</v>
      </c>
      <c r="P267" s="144">
        <v>0</v>
      </c>
      <c r="R267" s="1274"/>
      <c r="S267" s="1275"/>
    </row>
    <row r="268" s="1163" customFormat="1" ht="24.75" customHeight="1" spans="1:16">
      <c r="A268" s="1179"/>
      <c r="B268" s="1180" t="s">
        <v>1215</v>
      </c>
      <c r="C268" s="593" t="s">
        <v>582</v>
      </c>
      <c r="D268" s="468" t="s">
        <v>492</v>
      </c>
      <c r="E268" s="469" t="s">
        <v>492</v>
      </c>
      <c r="F268" s="1181"/>
      <c r="G268" s="1182"/>
      <c r="H268" s="920" t="s">
        <v>1216</v>
      </c>
      <c r="I268" s="973">
        <v>203390</v>
      </c>
      <c r="J268" s="1235">
        <v>0.030563340390049</v>
      </c>
      <c r="K268" s="1203"/>
      <c r="L268" s="1272">
        <v>6216.27780193206</v>
      </c>
      <c r="M268" s="1204">
        <v>0</v>
      </c>
      <c r="N268" s="1204">
        <v>6216.27780193206</v>
      </c>
      <c r="O268" s="1204">
        <v>305.63340390049</v>
      </c>
      <c r="P268" s="975">
        <v>6216.27780193206</v>
      </c>
    </row>
    <row r="269" s="581" customFormat="1" customHeight="1" outlineLevel="1" collapsed="1" spans="2:16">
      <c r="B269" s="1819" t="s">
        <v>1217</v>
      </c>
      <c r="C269" s="1268">
        <v>1</v>
      </c>
      <c r="D269" s="1269" t="s">
        <v>1218</v>
      </c>
      <c r="E269" s="1270"/>
      <c r="F269" s="1271"/>
      <c r="G269" s="830"/>
      <c r="H269" s="1185"/>
      <c r="I269" s="1205"/>
      <c r="J269" s="1206"/>
      <c r="K269" s="1206"/>
      <c r="L269" s="806"/>
      <c r="M269" s="806"/>
      <c r="N269" s="806">
        <v>0</v>
      </c>
      <c r="O269" s="1273">
        <v>0</v>
      </c>
      <c r="P269" s="1273">
        <v>0</v>
      </c>
    </row>
    <row r="270" s="581" customFormat="1" customHeight="1" outlineLevel="1" collapsed="1" spans="2:16">
      <c r="B270" s="1819" t="s">
        <v>1219</v>
      </c>
      <c r="C270" s="1268">
        <v>2</v>
      </c>
      <c r="D270" s="1269" t="s">
        <v>1220</v>
      </c>
      <c r="E270" s="1270"/>
      <c r="F270" s="1271"/>
      <c r="G270" s="830"/>
      <c r="H270" s="1185"/>
      <c r="I270" s="1205"/>
      <c r="J270" s="1206"/>
      <c r="K270" s="814"/>
      <c r="L270" s="772">
        <v>6216.27780193206</v>
      </c>
      <c r="M270" s="772"/>
      <c r="N270" s="806">
        <v>6216.27780193206</v>
      </c>
      <c r="O270" s="1273">
        <v>305.63340390049</v>
      </c>
      <c r="P270" s="1273">
        <v>6216.27780193206</v>
      </c>
    </row>
    <row r="271" s="581" customFormat="1" customHeight="1" outlineLevel="1" collapsed="1" spans="2:16">
      <c r="B271" s="1819" t="s">
        <v>1221</v>
      </c>
      <c r="C271" s="1268">
        <v>3</v>
      </c>
      <c r="D271" s="1269" t="s">
        <v>1222</v>
      </c>
      <c r="E271" s="1270"/>
      <c r="F271" s="1271"/>
      <c r="G271" s="830"/>
      <c r="H271" s="1185"/>
      <c r="I271" s="1205"/>
      <c r="J271" s="1206"/>
      <c r="K271" s="1206"/>
      <c r="L271" s="806"/>
      <c r="M271" s="806"/>
      <c r="N271" s="806">
        <v>0</v>
      </c>
      <c r="O271" s="1273">
        <v>0</v>
      </c>
      <c r="P271" s="1273">
        <v>0</v>
      </c>
    </row>
    <row r="272" customHeight="1" spans="15:16">
      <c r="O272" s="169" t="s">
        <v>2</v>
      </c>
      <c r="P272" s="169">
        <v>52954.3520918084</v>
      </c>
    </row>
    <row r="273" customHeight="1" spans="8:8">
      <c r="H273" s="1166" t="s">
        <v>1223</v>
      </c>
    </row>
  </sheetData>
  <mergeCells count="1">
    <mergeCell ref="B2:B3"/>
  </mergeCells>
  <conditionalFormatting sqref="B5">
    <cfRule type="duplicateValues" dxfId="0" priority="74"/>
  </conditionalFormatting>
  <conditionalFormatting sqref="B6">
    <cfRule type="duplicateValues" dxfId="1" priority="73"/>
  </conditionalFormatting>
  <conditionalFormatting sqref="B112">
    <cfRule type="duplicateValues" dxfId="2" priority="72"/>
  </conditionalFormatting>
  <conditionalFormatting sqref="E113">
    <cfRule type="duplicateValues" dxfId="3" priority="71"/>
  </conditionalFormatting>
  <conditionalFormatting sqref="B116">
    <cfRule type="duplicateValues" dxfId="4" priority="55"/>
  </conditionalFormatting>
  <conditionalFormatting sqref="D122">
    <cfRule type="duplicateValues" dxfId="5" priority="52"/>
  </conditionalFormatting>
  <conditionalFormatting sqref="D123">
    <cfRule type="duplicateValues" dxfId="6" priority="50"/>
  </conditionalFormatting>
  <conditionalFormatting sqref="D125">
    <cfRule type="duplicateValues" dxfId="7" priority="51"/>
  </conditionalFormatting>
  <conditionalFormatting sqref="D126">
    <cfRule type="duplicateValues" dxfId="8" priority="49"/>
  </conditionalFormatting>
  <conditionalFormatting sqref="E142">
    <cfRule type="duplicateValues" dxfId="9" priority="53"/>
  </conditionalFormatting>
  <conditionalFormatting sqref="E147">
    <cfRule type="duplicateValues" dxfId="10" priority="54"/>
  </conditionalFormatting>
  <conditionalFormatting sqref="B148">
    <cfRule type="duplicateValues" dxfId="11" priority="46"/>
  </conditionalFormatting>
  <conditionalFormatting sqref="D148">
    <cfRule type="duplicateValues" dxfId="12" priority="47"/>
  </conditionalFormatting>
  <conditionalFormatting sqref="E148">
    <cfRule type="duplicateValues" dxfId="13" priority="48"/>
  </conditionalFormatting>
  <conditionalFormatting sqref="B149">
    <cfRule type="duplicateValues" dxfId="14" priority="43"/>
  </conditionalFormatting>
  <conditionalFormatting sqref="D149">
    <cfRule type="duplicateValues" dxfId="15" priority="44"/>
  </conditionalFormatting>
  <conditionalFormatting sqref="E149">
    <cfRule type="duplicateValues" dxfId="16" priority="45"/>
  </conditionalFormatting>
  <conditionalFormatting sqref="D150">
    <cfRule type="duplicateValues" dxfId="17" priority="6"/>
  </conditionalFormatting>
  <conditionalFormatting sqref="E150">
    <cfRule type="duplicateValues" dxfId="18" priority="7"/>
  </conditionalFormatting>
  <conditionalFormatting sqref="B151">
    <cfRule type="duplicateValues" dxfId="19" priority="40"/>
  </conditionalFormatting>
  <conditionalFormatting sqref="D151">
    <cfRule type="duplicateValues" dxfId="20" priority="41"/>
  </conditionalFormatting>
  <conditionalFormatting sqref="E151">
    <cfRule type="duplicateValues" dxfId="21" priority="42"/>
  </conditionalFormatting>
  <conditionalFormatting sqref="B171">
    <cfRule type="duplicateValues" dxfId="22" priority="37"/>
  </conditionalFormatting>
  <conditionalFormatting sqref="D171">
    <cfRule type="duplicateValues" dxfId="23" priority="38"/>
  </conditionalFormatting>
  <conditionalFormatting sqref="E171">
    <cfRule type="duplicateValues" dxfId="24" priority="39"/>
  </conditionalFormatting>
  <conditionalFormatting sqref="B179">
    <cfRule type="duplicateValues" dxfId="25" priority="34"/>
  </conditionalFormatting>
  <conditionalFormatting sqref="D179">
    <cfRule type="duplicateValues" dxfId="26" priority="35"/>
  </conditionalFormatting>
  <conditionalFormatting sqref="E179">
    <cfRule type="duplicateValues" dxfId="27" priority="36"/>
  </conditionalFormatting>
  <conditionalFormatting sqref="E180">
    <cfRule type="duplicateValues" dxfId="28" priority="68"/>
  </conditionalFormatting>
  <conditionalFormatting sqref="D208">
    <cfRule type="duplicateValues" dxfId="29" priority="4"/>
  </conditionalFormatting>
  <conditionalFormatting sqref="E208">
    <cfRule type="duplicateValues" dxfId="30" priority="5"/>
  </conditionalFormatting>
  <conditionalFormatting sqref="B209">
    <cfRule type="duplicateValues" dxfId="31" priority="31"/>
  </conditionalFormatting>
  <conditionalFormatting sqref="D209">
    <cfRule type="duplicateValues" dxfId="32" priority="32"/>
  </conditionalFormatting>
  <conditionalFormatting sqref="E209">
    <cfRule type="duplicateValues" dxfId="33" priority="33"/>
  </conditionalFormatting>
  <conditionalFormatting sqref="B221">
    <cfRule type="duplicateValues" dxfId="34" priority="29"/>
  </conditionalFormatting>
  <conditionalFormatting sqref="D221">
    <cfRule type="duplicateValues" dxfId="35" priority="30"/>
  </conditionalFormatting>
  <conditionalFormatting sqref="B222">
    <cfRule type="duplicateValues" dxfId="36" priority="26"/>
  </conditionalFormatting>
  <conditionalFormatting sqref="D222">
    <cfRule type="duplicateValues" dxfId="37" priority="27"/>
  </conditionalFormatting>
  <conditionalFormatting sqref="E222">
    <cfRule type="duplicateValues" dxfId="38" priority="28"/>
  </conditionalFormatting>
  <conditionalFormatting sqref="D234">
    <cfRule type="duplicateValues" dxfId="39" priority="62"/>
  </conditionalFormatting>
  <conditionalFormatting sqref="E237">
    <cfRule type="duplicateValues" dxfId="40" priority="64"/>
  </conditionalFormatting>
  <conditionalFormatting sqref="B238">
    <cfRule type="duplicateValues" dxfId="41" priority="23"/>
  </conditionalFormatting>
  <conditionalFormatting sqref="D238">
    <cfRule type="duplicateValues" dxfId="42" priority="24"/>
  </conditionalFormatting>
  <conditionalFormatting sqref="E238">
    <cfRule type="duplicateValues" dxfId="43" priority="25"/>
  </conditionalFormatting>
  <conditionalFormatting sqref="B259">
    <cfRule type="duplicateValues" dxfId="44" priority="20"/>
  </conditionalFormatting>
  <conditionalFormatting sqref="D259">
    <cfRule type="duplicateValues" dxfId="45" priority="21"/>
  </conditionalFormatting>
  <conditionalFormatting sqref="E259">
    <cfRule type="duplicateValues" dxfId="46" priority="22"/>
  </conditionalFormatting>
  <conditionalFormatting sqref="B260">
    <cfRule type="duplicateValues" dxfId="47" priority="17"/>
  </conditionalFormatting>
  <conditionalFormatting sqref="D260">
    <cfRule type="duplicateValues" dxfId="48" priority="18"/>
  </conditionalFormatting>
  <conditionalFormatting sqref="E260">
    <cfRule type="duplicateValues" dxfId="49" priority="19"/>
  </conditionalFormatting>
  <conditionalFormatting sqref="D268">
    <cfRule type="duplicateValues" dxfId="50" priority="2"/>
  </conditionalFormatting>
  <conditionalFormatting sqref="E268">
    <cfRule type="duplicateValues" dxfId="51" priority="3"/>
  </conditionalFormatting>
  <conditionalFormatting sqref="B269">
    <cfRule type="duplicateValues" dxfId="52" priority="14"/>
  </conditionalFormatting>
  <conditionalFormatting sqref="D269">
    <cfRule type="duplicateValues" dxfId="53" priority="15"/>
  </conditionalFormatting>
  <conditionalFormatting sqref="E269">
    <cfRule type="duplicateValues" dxfId="54" priority="16"/>
  </conditionalFormatting>
  <conditionalFormatting sqref="B270">
    <cfRule type="duplicateValues" dxfId="55" priority="11"/>
  </conditionalFormatting>
  <conditionalFormatting sqref="D270">
    <cfRule type="duplicateValues" dxfId="56" priority="12"/>
  </conditionalFormatting>
  <conditionalFormatting sqref="E270">
    <cfRule type="duplicateValues" dxfId="57" priority="13"/>
  </conditionalFormatting>
  <conditionalFormatting sqref="B271">
    <cfRule type="duplicateValues" dxfId="58" priority="8"/>
  </conditionalFormatting>
  <conditionalFormatting sqref="D271">
    <cfRule type="duplicateValues" dxfId="59" priority="9"/>
  </conditionalFormatting>
  <conditionalFormatting sqref="E271">
    <cfRule type="duplicateValues" dxfId="60" priority="10"/>
  </conditionalFormatting>
  <conditionalFormatting sqref="D134:D137">
    <cfRule type="duplicateValues" dxfId="61" priority="1"/>
  </conditionalFormatting>
  <conditionalFormatting sqref="D172:D178">
    <cfRule type="duplicateValues" dxfId="62" priority="69"/>
  </conditionalFormatting>
  <conditionalFormatting sqref="D180:D207">
    <cfRule type="duplicateValues" dxfId="63" priority="67"/>
  </conditionalFormatting>
  <conditionalFormatting sqref="D210:D220">
    <cfRule type="duplicateValues" dxfId="64" priority="65"/>
  </conditionalFormatting>
  <conditionalFormatting sqref="D239:D258">
    <cfRule type="duplicateValues" dxfId="65" priority="60"/>
  </conditionalFormatting>
  <conditionalFormatting sqref="D261:D267">
    <cfRule type="duplicateValues" dxfId="66" priority="58"/>
  </conditionalFormatting>
  <conditionalFormatting sqref="E239:E258">
    <cfRule type="duplicateValues" dxfId="67" priority="61"/>
  </conditionalFormatting>
  <conditionalFormatting sqref="E261:E267">
    <cfRule type="duplicateValues" dxfId="68" priority="59"/>
  </conditionalFormatting>
  <conditionalFormatting sqref="D272:D1048576 F2:F3 D4:D114">
    <cfRule type="duplicateValues" dxfId="69" priority="75"/>
  </conditionalFormatting>
  <conditionalFormatting sqref="E67:E69 E4:E6 E114 E111:E112 E85 E81:E82 E88 E91:E93">
    <cfRule type="duplicateValues" dxfId="70" priority="76"/>
  </conditionalFormatting>
  <conditionalFormatting sqref="D115:D121 D124 D127:D133 D138:D147">
    <cfRule type="duplicateValues" dxfId="71" priority="56"/>
  </conditionalFormatting>
  <conditionalFormatting sqref="E115:E118 E138:E141">
    <cfRule type="duplicateValues" dxfId="72" priority="57"/>
  </conditionalFormatting>
  <conditionalFormatting sqref="D168:D170 D152:D163">
    <cfRule type="duplicateValues" dxfId="73" priority="70"/>
  </conditionalFormatting>
  <conditionalFormatting sqref="E212:E213 E216:E220">
    <cfRule type="duplicateValues" dxfId="74" priority="66"/>
  </conditionalFormatting>
  <conditionalFormatting sqref="D235:D237 D223:D233">
    <cfRule type="duplicateValues" dxfId="75" priority="63"/>
  </conditionalFormatting>
  <printOptions horizontalCentered="1"/>
  <pageMargins left="0" right="0" top="0.590277777777778" bottom="0.590277777777778" header="0.314583333333333" footer="0.314583333333333"/>
  <pageSetup paperSize="9" scale="81" orientation="portrait" horizontalDpi="300" verticalDpi="300"/>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59"/>
  <sheetViews>
    <sheetView workbookViewId="0">
      <pane xSplit="1" ySplit="5" topLeftCell="B48" activePane="bottomRight" state="frozen"/>
      <selection/>
      <selection pane="topRight"/>
      <selection pane="bottomLeft"/>
      <selection pane="bottomRight" activeCell="D6" sqref="D6:G9"/>
    </sheetView>
  </sheetViews>
  <sheetFormatPr defaultColWidth="9" defaultRowHeight="15.75"/>
  <cols>
    <col min="1" max="1" width="18.5" customWidth="1"/>
    <col min="2" max="2" width="9.6" customWidth="1"/>
    <col min="3" max="4" width="11.6" customWidth="1"/>
    <col min="5" max="7" width="9.9" customWidth="1"/>
  </cols>
  <sheetData>
    <row r="1" ht="31.5" customHeight="1" spans="1:7">
      <c r="A1" s="1798" t="s">
        <v>0</v>
      </c>
      <c r="B1" s="1798"/>
      <c r="C1" s="1798"/>
      <c r="D1" s="1798"/>
      <c r="E1" s="1798"/>
      <c r="F1" s="1798"/>
      <c r="G1" s="1798"/>
    </row>
    <row r="3" spans="1:7">
      <c r="A3" s="1450" t="s">
        <v>1</v>
      </c>
      <c r="B3" s="1450" t="s">
        <v>2</v>
      </c>
      <c r="C3" s="1799" t="s">
        <v>3</v>
      </c>
      <c r="D3" s="1800"/>
      <c r="E3" s="1800"/>
      <c r="F3" s="1801"/>
      <c r="G3" s="1802"/>
    </row>
    <row r="4" spans="1:7">
      <c r="A4" s="1453"/>
      <c r="B4" s="1453"/>
      <c r="C4" s="1803" t="s">
        <v>4</v>
      </c>
      <c r="D4" s="1803" t="s">
        <v>5</v>
      </c>
      <c r="E4" s="1803" t="s">
        <v>6</v>
      </c>
      <c r="F4" s="1803" t="s">
        <v>7</v>
      </c>
      <c r="G4" s="1803" t="s">
        <v>8</v>
      </c>
    </row>
    <row r="5" spans="1:7">
      <c r="A5" s="1804" t="s">
        <v>9</v>
      </c>
      <c r="B5" s="1805" t="e">
        <f t="shared" ref="B5:G5" si="0">SUM(B6:B9)</f>
        <v>#REF!</v>
      </c>
      <c r="C5" s="1805" t="e">
        <f t="shared" si="0"/>
        <v>#REF!</v>
      </c>
      <c r="D5" s="1805" t="e">
        <f t="shared" si="0"/>
        <v>#REF!</v>
      </c>
      <c r="E5" s="1805" t="e">
        <f t="shared" si="0"/>
        <v>#REF!</v>
      </c>
      <c r="F5" s="1805" t="e">
        <f t="shared" si="0"/>
        <v>#REF!</v>
      </c>
      <c r="G5" s="1805" t="e">
        <f t="shared" si="0"/>
        <v>#REF!</v>
      </c>
    </row>
    <row r="6" spans="1:7">
      <c r="A6" s="1806" t="e">
        <f>#REF!</f>
        <v>#REF!</v>
      </c>
      <c r="B6" s="1807" t="e">
        <f t="shared" ref="B6:B9" si="1">SUM(C6:G6)</f>
        <v>#REF!</v>
      </c>
      <c r="C6" s="1808" t="e">
        <f>#REF!</f>
        <v>#REF!</v>
      </c>
      <c r="D6" s="1808" t="e">
        <f>#REF!*1.1</f>
        <v>#REF!</v>
      </c>
      <c r="E6" s="1808" t="e">
        <f>#REF!*1.1</f>
        <v>#REF!</v>
      </c>
      <c r="F6" s="1808" t="e">
        <f>#REF!*1.1</f>
        <v>#REF!</v>
      </c>
      <c r="G6" s="1808" t="e">
        <f>#REF!*1.1</f>
        <v>#REF!</v>
      </c>
    </row>
    <row r="7" spans="1:7">
      <c r="A7" s="1806" t="e">
        <f>#REF!</f>
        <v>#REF!</v>
      </c>
      <c r="B7" s="1807" t="e">
        <f t="shared" si="1"/>
        <v>#REF!</v>
      </c>
      <c r="C7" s="1808" t="e">
        <f>#REF!</f>
        <v>#REF!</v>
      </c>
      <c r="D7" s="1808" t="e">
        <f>#REF!*1.1</f>
        <v>#REF!</v>
      </c>
      <c r="E7" s="1808" t="e">
        <f>#REF!*1.1</f>
        <v>#REF!</v>
      </c>
      <c r="F7" s="1808" t="e">
        <f>#REF!*1.1</f>
        <v>#REF!</v>
      </c>
      <c r="G7" s="1808" t="e">
        <f>#REF!*1.1</f>
        <v>#REF!</v>
      </c>
    </row>
    <row r="8" spans="1:7">
      <c r="A8" s="1806" t="e">
        <f>#REF!</f>
        <v>#REF!</v>
      </c>
      <c r="B8" s="1807" t="e">
        <f t="shared" si="1"/>
        <v>#REF!</v>
      </c>
      <c r="C8" s="1808" t="e">
        <f>#REF!</f>
        <v>#REF!</v>
      </c>
      <c r="D8" s="1808" t="e">
        <f>#REF!*1.1</f>
        <v>#REF!</v>
      </c>
      <c r="E8" s="1808" t="e">
        <f>#REF!*1.1</f>
        <v>#REF!</v>
      </c>
      <c r="F8" s="1808" t="e">
        <f>#REF!*1.1</f>
        <v>#REF!</v>
      </c>
      <c r="G8" s="1808" t="e">
        <f>#REF!*1.1</f>
        <v>#REF!</v>
      </c>
    </row>
    <row r="9" spans="1:7">
      <c r="A9" s="1806" t="e">
        <f>#REF!</f>
        <v>#REF!</v>
      </c>
      <c r="B9" s="1807" t="e">
        <f t="shared" si="1"/>
        <v>#REF!</v>
      </c>
      <c r="C9" s="1808" t="e">
        <f>#REF!</f>
        <v>#REF!</v>
      </c>
      <c r="D9" s="1808" t="e">
        <f>#REF!*1.1</f>
        <v>#REF!</v>
      </c>
      <c r="E9" s="1808" t="e">
        <f>#REF!*1.1</f>
        <v>#REF!</v>
      </c>
      <c r="F9" s="1808" t="e">
        <f>#REF!*1.1</f>
        <v>#REF!</v>
      </c>
      <c r="G9" s="1808" t="e">
        <f>#REF!*1.1</f>
        <v>#REF!</v>
      </c>
    </row>
    <row r="10" spans="1:7">
      <c r="A10" s="1809"/>
      <c r="B10" s="1809"/>
      <c r="C10" s="1809"/>
      <c r="D10" s="1809"/>
      <c r="E10" s="1809"/>
      <c r="F10" s="1809"/>
      <c r="G10" s="1809"/>
    </row>
    <row r="11" spans="1:9">
      <c r="A11" s="1804" t="s">
        <v>10</v>
      </c>
      <c r="B11" s="1805" t="e">
        <f t="shared" ref="B11:G11" si="2">SUM(B12:B15)</f>
        <v>#REF!</v>
      </c>
      <c r="C11" s="1805" t="e">
        <f t="shared" si="2"/>
        <v>#REF!</v>
      </c>
      <c r="D11" s="1805" t="e">
        <f t="shared" si="2"/>
        <v>#REF!</v>
      </c>
      <c r="E11" s="1805" t="e">
        <f t="shared" si="2"/>
        <v>#REF!</v>
      </c>
      <c r="F11" s="1805" t="e">
        <f t="shared" si="2"/>
        <v>#REF!</v>
      </c>
      <c r="G11" s="1805" t="e">
        <f t="shared" si="2"/>
        <v>#REF!</v>
      </c>
      <c r="H11" t="e">
        <f>#REF!</f>
        <v>#REF!</v>
      </c>
      <c r="I11" t="e">
        <f>H11/B5</f>
        <v>#REF!</v>
      </c>
    </row>
    <row r="12" spans="1:7">
      <c r="A12" s="1806" t="e">
        <f t="shared" ref="A12:A15" si="3">A6</f>
        <v>#REF!</v>
      </c>
      <c r="B12" s="1807" t="e">
        <f t="shared" ref="B12:B15" si="4">SUM(C12:G12)</f>
        <v>#REF!</v>
      </c>
      <c r="C12" s="1810" t="e">
        <f>#REF!*(#REF!-#REF!)/10000</f>
        <v>#REF!</v>
      </c>
      <c r="D12" s="1810" t="e">
        <f>#REF!*(#REF!-#REF!)/10000</f>
        <v>#REF!</v>
      </c>
      <c r="E12" s="1810" t="e">
        <f>#REF!*(#REF!-#REF!)/10000</f>
        <v>#REF!</v>
      </c>
      <c r="F12" s="1810" t="e">
        <f>#REF!*(#REF!-#REF!)/10000</f>
        <v>#REF!</v>
      </c>
      <c r="G12" s="1810" t="e">
        <f>#REF!*(#REF!-#REF!)/10000</f>
        <v>#REF!</v>
      </c>
    </row>
    <row r="13" spans="1:7">
      <c r="A13" s="1806" t="e">
        <f t="shared" si="3"/>
        <v>#REF!</v>
      </c>
      <c r="B13" s="1807" t="e">
        <f t="shared" si="4"/>
        <v>#REF!</v>
      </c>
      <c r="C13" s="1810" t="e">
        <f>#REF!*(#REF!-#REF!)/10000</f>
        <v>#REF!</v>
      </c>
      <c r="D13" s="1810" t="e">
        <f>#REF!*(#REF!-#REF!)/10000</f>
        <v>#REF!</v>
      </c>
      <c r="E13" s="1810" t="e">
        <f>#REF!*(#REF!-#REF!)/10000</f>
        <v>#REF!</v>
      </c>
      <c r="F13" s="1810" t="e">
        <f>#REF!*(#REF!-#REF!)/10000</f>
        <v>#REF!</v>
      </c>
      <c r="G13" s="1810" t="e">
        <f>#REF!*(#REF!-#REF!)/10000</f>
        <v>#REF!</v>
      </c>
    </row>
    <row r="14" spans="1:7">
      <c r="A14" s="1806" t="e">
        <f t="shared" si="3"/>
        <v>#REF!</v>
      </c>
      <c r="B14" s="1807" t="e">
        <f t="shared" si="4"/>
        <v>#REF!</v>
      </c>
      <c r="C14" s="1810" t="e">
        <f>#REF!*(#REF!-#REF!)/10000</f>
        <v>#REF!</v>
      </c>
      <c r="D14" s="1810" t="e">
        <f>#REF!*(#REF!-#REF!)/10000</f>
        <v>#REF!</v>
      </c>
      <c r="E14" s="1810" t="e">
        <f>#REF!*(#REF!-#REF!)/10000</f>
        <v>#REF!</v>
      </c>
      <c r="F14" s="1810" t="e">
        <f>#REF!*(#REF!-#REF!)/10000</f>
        <v>#REF!</v>
      </c>
      <c r="G14" s="1810" t="e">
        <f>#REF!*(#REF!-#REF!)/10000</f>
        <v>#REF!</v>
      </c>
    </row>
    <row r="15" spans="1:7">
      <c r="A15" s="1806" t="e">
        <f t="shared" si="3"/>
        <v>#REF!</v>
      </c>
      <c r="B15" s="1807" t="e">
        <f t="shared" si="4"/>
        <v>#REF!</v>
      </c>
      <c r="C15" s="1810" t="e">
        <f>#REF!*(#REF!-#REF!)/10000</f>
        <v>#REF!</v>
      </c>
      <c r="D15" s="1810" t="e">
        <f>#REF!*(#REF!-#REF!)/10000</f>
        <v>#REF!</v>
      </c>
      <c r="E15" s="1810" t="e">
        <f>#REF!*(#REF!-#REF!)/10000</f>
        <v>#REF!</v>
      </c>
      <c r="F15" s="1810" t="e">
        <f>#REF!*(#REF!-#REF!)/10000</f>
        <v>#REF!</v>
      </c>
      <c r="G15" s="1810" t="e">
        <f>#REF!*(#REF!-#REF!)/10000</f>
        <v>#REF!</v>
      </c>
    </row>
    <row r="17" spans="1:7">
      <c r="A17" s="1804" t="s">
        <v>11</v>
      </c>
      <c r="B17" s="1805" t="e">
        <f t="shared" ref="B17:G17" si="5">SUM(B18:B21)</f>
        <v>#REF!</v>
      </c>
      <c r="C17" s="1805" t="e">
        <f t="shared" si="5"/>
        <v>#REF!</v>
      </c>
      <c r="D17" s="1805" t="e">
        <f t="shared" si="5"/>
        <v>#REF!</v>
      </c>
      <c r="E17" s="1805" t="e">
        <f t="shared" si="5"/>
        <v>#REF!</v>
      </c>
      <c r="F17" s="1805" t="e">
        <f t="shared" si="5"/>
        <v>#REF!</v>
      </c>
      <c r="G17" s="1805" t="e">
        <f t="shared" si="5"/>
        <v>#REF!</v>
      </c>
    </row>
    <row r="18" spans="1:7">
      <c r="A18" s="1806" t="e">
        <f t="shared" ref="A18:A20" si="6">A6</f>
        <v>#REF!</v>
      </c>
      <c r="B18" s="1807" t="e">
        <f t="shared" ref="B18:B21" si="7">SUM(C18:G18)</f>
        <v>#REF!</v>
      </c>
      <c r="C18" s="1810" t="e">
        <f t="shared" ref="C18:G21" si="8">C12/10</f>
        <v>#REF!</v>
      </c>
      <c r="D18" s="1810" t="e">
        <f t="shared" si="8"/>
        <v>#REF!</v>
      </c>
      <c r="E18" s="1810" t="e">
        <f t="shared" si="8"/>
        <v>#REF!</v>
      </c>
      <c r="F18" s="1810" t="e">
        <f t="shared" si="8"/>
        <v>#REF!</v>
      </c>
      <c r="G18" s="1810" t="e">
        <f t="shared" si="8"/>
        <v>#REF!</v>
      </c>
    </row>
    <row r="19" spans="1:7">
      <c r="A19" s="1806" t="e">
        <f t="shared" si="6"/>
        <v>#REF!</v>
      </c>
      <c r="B19" s="1807" t="e">
        <f t="shared" si="7"/>
        <v>#REF!</v>
      </c>
      <c r="C19" s="1810" t="e">
        <f t="shared" si="8"/>
        <v>#REF!</v>
      </c>
      <c r="D19" s="1810" t="e">
        <f t="shared" si="8"/>
        <v>#REF!</v>
      </c>
      <c r="E19" s="1810" t="e">
        <f t="shared" si="8"/>
        <v>#REF!</v>
      </c>
      <c r="F19" s="1810" t="e">
        <f t="shared" si="8"/>
        <v>#REF!</v>
      </c>
      <c r="G19" s="1810" t="e">
        <f t="shared" si="8"/>
        <v>#REF!</v>
      </c>
    </row>
    <row r="20" spans="1:7">
      <c r="A20" s="1806" t="e">
        <f t="shared" si="6"/>
        <v>#REF!</v>
      </c>
      <c r="B20" s="1807" t="e">
        <f t="shared" si="7"/>
        <v>#REF!</v>
      </c>
      <c r="C20" s="1810" t="e">
        <f t="shared" si="8"/>
        <v>#REF!</v>
      </c>
      <c r="D20" s="1810" t="e">
        <f t="shared" si="8"/>
        <v>#REF!</v>
      </c>
      <c r="E20" s="1810" t="e">
        <f t="shared" si="8"/>
        <v>#REF!</v>
      </c>
      <c r="F20" s="1810" t="e">
        <f t="shared" si="8"/>
        <v>#REF!</v>
      </c>
      <c r="G20" s="1810" t="e">
        <f t="shared" si="8"/>
        <v>#REF!</v>
      </c>
    </row>
    <row r="21" spans="1:7">
      <c r="A21" s="1806" t="e">
        <f>A15</f>
        <v>#REF!</v>
      </c>
      <c r="B21" s="1807" t="e">
        <f t="shared" si="7"/>
        <v>#REF!</v>
      </c>
      <c r="C21" s="1810" t="e">
        <f t="shared" si="8"/>
        <v>#REF!</v>
      </c>
      <c r="D21" s="1810" t="e">
        <f t="shared" si="8"/>
        <v>#REF!</v>
      </c>
      <c r="E21" s="1810" t="e">
        <f t="shared" si="8"/>
        <v>#REF!</v>
      </c>
      <c r="F21" s="1810" t="e">
        <f t="shared" si="8"/>
        <v>#REF!</v>
      </c>
      <c r="G21" s="1810" t="e">
        <f t="shared" si="8"/>
        <v>#REF!</v>
      </c>
    </row>
    <row r="23" spans="1:7">
      <c r="A23" s="1804" t="s">
        <v>12</v>
      </c>
      <c r="B23" s="1805" t="e">
        <f t="shared" ref="B23:G23" si="9">SUM(B24:B27)</f>
        <v>#REF!</v>
      </c>
      <c r="C23" s="1805" t="e">
        <f t="shared" si="9"/>
        <v>#REF!</v>
      </c>
      <c r="D23" s="1805" t="e">
        <f t="shared" si="9"/>
        <v>#REF!</v>
      </c>
      <c r="E23" s="1805" t="e">
        <f t="shared" si="9"/>
        <v>#REF!</v>
      </c>
      <c r="F23" s="1805" t="e">
        <f t="shared" si="9"/>
        <v>#REF!</v>
      </c>
      <c r="G23" s="1805" t="e">
        <f t="shared" si="9"/>
        <v>#REF!</v>
      </c>
    </row>
    <row r="24" spans="1:7">
      <c r="A24" s="1806" t="e">
        <f t="shared" ref="A24:A26" si="10">A6</f>
        <v>#REF!</v>
      </c>
      <c r="B24" s="1807" t="e">
        <f t="shared" ref="B24:B27" si="11">SUM(C24:G24)</f>
        <v>#REF!</v>
      </c>
      <c r="C24" s="1810" t="e">
        <f t="shared" ref="C24:C27" si="12">C6*0.0515</f>
        <v>#REF!</v>
      </c>
      <c r="D24" s="1810" t="e">
        <f t="shared" ref="D24:G27" si="13">D6*0.055</f>
        <v>#REF!</v>
      </c>
      <c r="E24" s="1810" t="e">
        <f t="shared" si="13"/>
        <v>#REF!</v>
      </c>
      <c r="F24" s="1810" t="e">
        <f t="shared" si="13"/>
        <v>#REF!</v>
      </c>
      <c r="G24" s="1810" t="e">
        <f t="shared" si="13"/>
        <v>#REF!</v>
      </c>
    </row>
    <row r="25" spans="1:7">
      <c r="A25" s="1806" t="e">
        <f t="shared" si="10"/>
        <v>#REF!</v>
      </c>
      <c r="B25" s="1807" t="e">
        <f t="shared" si="11"/>
        <v>#REF!</v>
      </c>
      <c r="C25" s="1810" t="e">
        <f t="shared" si="12"/>
        <v>#REF!</v>
      </c>
      <c r="D25" s="1810" t="e">
        <f t="shared" si="13"/>
        <v>#REF!</v>
      </c>
      <c r="E25" s="1810" t="e">
        <f t="shared" si="13"/>
        <v>#REF!</v>
      </c>
      <c r="F25" s="1810" t="e">
        <f t="shared" si="13"/>
        <v>#REF!</v>
      </c>
      <c r="G25" s="1810" t="e">
        <f t="shared" si="13"/>
        <v>#REF!</v>
      </c>
    </row>
    <row r="26" spans="1:7">
      <c r="A26" s="1806" t="e">
        <f t="shared" si="10"/>
        <v>#REF!</v>
      </c>
      <c r="B26" s="1807" t="e">
        <f t="shared" si="11"/>
        <v>#REF!</v>
      </c>
      <c r="C26" s="1810" t="e">
        <f t="shared" si="12"/>
        <v>#REF!</v>
      </c>
      <c r="D26" s="1810" t="e">
        <f t="shared" si="13"/>
        <v>#REF!</v>
      </c>
      <c r="E26" s="1810" t="e">
        <f t="shared" si="13"/>
        <v>#REF!</v>
      </c>
      <c r="F26" s="1810" t="e">
        <f t="shared" si="13"/>
        <v>#REF!</v>
      </c>
      <c r="G26" s="1810" t="e">
        <f t="shared" si="13"/>
        <v>#REF!</v>
      </c>
    </row>
    <row r="27" spans="1:7">
      <c r="A27" s="1806" t="e">
        <f t="shared" ref="A27:A33" si="14">A21</f>
        <v>#REF!</v>
      </c>
      <c r="B27" s="1807" t="e">
        <f t="shared" si="11"/>
        <v>#REF!</v>
      </c>
      <c r="C27" s="1810" t="e">
        <f t="shared" si="12"/>
        <v>#REF!</v>
      </c>
      <c r="D27" s="1810" t="e">
        <f t="shared" si="13"/>
        <v>#REF!</v>
      </c>
      <c r="E27" s="1810" t="e">
        <f t="shared" si="13"/>
        <v>#REF!</v>
      </c>
      <c r="F27" s="1810" t="e">
        <f t="shared" si="13"/>
        <v>#REF!</v>
      </c>
      <c r="G27" s="1810" t="e">
        <f t="shared" si="13"/>
        <v>#REF!</v>
      </c>
    </row>
    <row r="29" spans="1:7">
      <c r="A29" s="1804" t="s">
        <v>13</v>
      </c>
      <c r="B29" s="1805" t="e">
        <f t="shared" ref="B29:G29" si="15">SUM(B30:B33)</f>
        <v>#REF!</v>
      </c>
      <c r="C29" s="1805" t="e">
        <f t="shared" si="15"/>
        <v>#REF!</v>
      </c>
      <c r="D29" s="1805" t="e">
        <f t="shared" si="15"/>
        <v>#REF!</v>
      </c>
      <c r="E29" s="1805" t="e">
        <f t="shared" si="15"/>
        <v>#REF!</v>
      </c>
      <c r="F29" s="1805" t="e">
        <f t="shared" si="15"/>
        <v>#REF!</v>
      </c>
      <c r="G29" s="1805" t="e">
        <f t="shared" si="15"/>
        <v>#REF!</v>
      </c>
    </row>
    <row r="30" spans="1:7">
      <c r="A30" s="1806" t="e">
        <f t="shared" si="14"/>
        <v>#REF!</v>
      </c>
      <c r="B30" s="1807" t="e">
        <f t="shared" ref="B30:B33" si="16">SUM(C30:G30)</f>
        <v>#REF!</v>
      </c>
      <c r="C30" s="1810" t="e">
        <f t="shared" ref="C30:G33" si="17">C12/5</f>
        <v>#REF!</v>
      </c>
      <c r="D30" s="1810" t="e">
        <f t="shared" si="17"/>
        <v>#REF!</v>
      </c>
      <c r="E30" s="1810" t="e">
        <f t="shared" si="17"/>
        <v>#REF!</v>
      </c>
      <c r="F30" s="1810" t="e">
        <f t="shared" si="17"/>
        <v>#REF!</v>
      </c>
      <c r="G30" s="1810" t="e">
        <f t="shared" si="17"/>
        <v>#REF!</v>
      </c>
    </row>
    <row r="31" spans="1:7">
      <c r="A31" s="1806" t="e">
        <f>A7</f>
        <v>#REF!</v>
      </c>
      <c r="B31" s="1807" t="e">
        <f t="shared" si="16"/>
        <v>#REF!</v>
      </c>
      <c r="C31" s="1810" t="e">
        <f t="shared" si="17"/>
        <v>#REF!</v>
      </c>
      <c r="D31" s="1810" t="e">
        <f t="shared" si="17"/>
        <v>#REF!</v>
      </c>
      <c r="E31" s="1810" t="e">
        <f t="shared" si="17"/>
        <v>#REF!</v>
      </c>
      <c r="F31" s="1810" t="e">
        <f t="shared" si="17"/>
        <v>#REF!</v>
      </c>
      <c r="G31" s="1810" t="e">
        <f t="shared" si="17"/>
        <v>#REF!</v>
      </c>
    </row>
    <row r="32" spans="1:7">
      <c r="A32" s="1806" t="e">
        <f t="shared" si="14"/>
        <v>#REF!</v>
      </c>
      <c r="B32" s="1807" t="e">
        <f t="shared" si="16"/>
        <v>#REF!</v>
      </c>
      <c r="C32" s="1810" t="e">
        <f t="shared" si="17"/>
        <v>#REF!</v>
      </c>
      <c r="D32" s="1810" t="e">
        <f t="shared" si="17"/>
        <v>#REF!</v>
      </c>
      <c r="E32" s="1810" t="e">
        <f t="shared" si="17"/>
        <v>#REF!</v>
      </c>
      <c r="F32" s="1810" t="e">
        <f t="shared" si="17"/>
        <v>#REF!</v>
      </c>
      <c r="G32" s="1810" t="e">
        <f t="shared" si="17"/>
        <v>#REF!</v>
      </c>
    </row>
    <row r="33" spans="1:7">
      <c r="A33" s="1806" t="e">
        <f t="shared" si="14"/>
        <v>#REF!</v>
      </c>
      <c r="B33" s="1807" t="e">
        <f t="shared" si="16"/>
        <v>#REF!</v>
      </c>
      <c r="C33" s="1810" t="e">
        <f t="shared" si="17"/>
        <v>#REF!</v>
      </c>
      <c r="D33" s="1810" t="e">
        <f t="shared" si="17"/>
        <v>#REF!</v>
      </c>
      <c r="E33" s="1810" t="e">
        <f t="shared" si="17"/>
        <v>#REF!</v>
      </c>
      <c r="F33" s="1810" t="e">
        <f t="shared" si="17"/>
        <v>#REF!</v>
      </c>
      <c r="G33" s="1810" t="e">
        <f t="shared" si="17"/>
        <v>#REF!</v>
      </c>
    </row>
    <row r="35" spans="1:7">
      <c r="A35" s="1804" t="s">
        <v>14</v>
      </c>
      <c r="B35" s="1805" t="e">
        <f t="shared" ref="B35:G35" si="18">SUM(B36:B39)</f>
        <v>#REF!</v>
      </c>
      <c r="C35" s="1805" t="e">
        <f t="shared" si="18"/>
        <v>#REF!</v>
      </c>
      <c r="D35" s="1805" t="e">
        <f t="shared" si="18"/>
        <v>#REF!</v>
      </c>
      <c r="E35" s="1805" t="e">
        <f t="shared" si="18"/>
        <v>#REF!</v>
      </c>
      <c r="F35" s="1805" t="e">
        <f t="shared" si="18"/>
        <v>#REF!</v>
      </c>
      <c r="G35" s="1805" t="e">
        <f t="shared" si="18"/>
        <v>#REF!</v>
      </c>
    </row>
    <row r="36" spans="1:10">
      <c r="A36" s="1806" t="e">
        <f t="shared" ref="A36:A39" si="19">A30</f>
        <v>#REF!</v>
      </c>
      <c r="B36" s="1807" t="e">
        <f t="shared" ref="B36:B39" si="20">SUM(C36:G36)</f>
        <v>#REF!</v>
      </c>
      <c r="C36" s="1810" t="e">
        <f t="shared" ref="C36:C39" si="21">C6-C12-C18-C24-C30</f>
        <v>#REF!</v>
      </c>
      <c r="D36" s="1810" t="e">
        <f t="shared" ref="D36:F39" si="22">D6-D12-D18-D24-D30+H36</f>
        <v>#REF!</v>
      </c>
      <c r="E36" s="1810" t="e">
        <f t="shared" si="22"/>
        <v>#REF!</v>
      </c>
      <c r="F36" s="1810" t="e">
        <f t="shared" si="22"/>
        <v>#REF!</v>
      </c>
      <c r="G36" s="1810" t="e">
        <f t="shared" ref="G36:G39" si="23">G6-G12-G18-G24-G30</f>
        <v>#REF!</v>
      </c>
      <c r="H36" s="1811" t="e">
        <f t="shared" ref="H36:J39" si="24">D12*$I$11</f>
        <v>#REF!</v>
      </c>
      <c r="I36" s="1811" t="e">
        <f t="shared" si="24"/>
        <v>#REF!</v>
      </c>
      <c r="J36" s="1811" t="e">
        <f t="shared" si="24"/>
        <v>#REF!</v>
      </c>
    </row>
    <row r="37" spans="1:10">
      <c r="A37" s="1806" t="e">
        <f>A7</f>
        <v>#REF!</v>
      </c>
      <c r="B37" s="1807" t="e">
        <f t="shared" si="20"/>
        <v>#REF!</v>
      </c>
      <c r="C37" s="1810" t="e">
        <f t="shared" si="21"/>
        <v>#REF!</v>
      </c>
      <c r="D37" s="1810" t="e">
        <f t="shared" si="22"/>
        <v>#REF!</v>
      </c>
      <c r="E37" s="1810" t="e">
        <f t="shared" si="22"/>
        <v>#REF!</v>
      </c>
      <c r="F37" s="1810" t="e">
        <f t="shared" si="22"/>
        <v>#REF!</v>
      </c>
      <c r="G37" s="1810" t="e">
        <f t="shared" si="23"/>
        <v>#REF!</v>
      </c>
      <c r="H37" s="1811" t="e">
        <f t="shared" si="24"/>
        <v>#REF!</v>
      </c>
      <c r="I37" s="1811" t="e">
        <f t="shared" si="24"/>
        <v>#REF!</v>
      </c>
      <c r="J37" s="1811" t="e">
        <f t="shared" si="24"/>
        <v>#REF!</v>
      </c>
    </row>
    <row r="38" spans="1:10">
      <c r="A38" s="1806" t="e">
        <f t="shared" si="19"/>
        <v>#REF!</v>
      </c>
      <c r="B38" s="1807" t="e">
        <f t="shared" si="20"/>
        <v>#REF!</v>
      </c>
      <c r="C38" s="1810" t="e">
        <f t="shared" si="21"/>
        <v>#REF!</v>
      </c>
      <c r="D38" s="1810" t="e">
        <f t="shared" si="22"/>
        <v>#REF!</v>
      </c>
      <c r="E38" s="1810" t="e">
        <f t="shared" si="22"/>
        <v>#REF!</v>
      </c>
      <c r="F38" s="1810" t="e">
        <f t="shared" si="22"/>
        <v>#REF!</v>
      </c>
      <c r="G38" s="1810" t="e">
        <f t="shared" si="23"/>
        <v>#REF!</v>
      </c>
      <c r="H38" s="1811" t="e">
        <f t="shared" si="24"/>
        <v>#REF!</v>
      </c>
      <c r="I38" s="1811" t="e">
        <f t="shared" si="24"/>
        <v>#REF!</v>
      </c>
      <c r="J38" s="1811" t="e">
        <f t="shared" si="24"/>
        <v>#REF!</v>
      </c>
    </row>
    <row r="39" spans="1:10">
      <c r="A39" s="1806" t="e">
        <f t="shared" si="19"/>
        <v>#REF!</v>
      </c>
      <c r="B39" s="1807" t="e">
        <f t="shared" si="20"/>
        <v>#REF!</v>
      </c>
      <c r="C39" s="1810" t="e">
        <f t="shared" si="21"/>
        <v>#REF!</v>
      </c>
      <c r="D39" s="1810" t="e">
        <f t="shared" si="22"/>
        <v>#REF!</v>
      </c>
      <c r="E39" s="1810" t="e">
        <f t="shared" si="22"/>
        <v>#REF!</v>
      </c>
      <c r="F39" s="1810" t="e">
        <f t="shared" si="22"/>
        <v>#REF!</v>
      </c>
      <c r="G39" s="1810" t="e">
        <f t="shared" si="23"/>
        <v>#REF!</v>
      </c>
      <c r="H39" s="1811" t="e">
        <f t="shared" si="24"/>
        <v>#REF!</v>
      </c>
      <c r="I39" s="1811" t="e">
        <f t="shared" si="24"/>
        <v>#REF!</v>
      </c>
      <c r="J39" s="1811" t="e">
        <f t="shared" si="24"/>
        <v>#REF!</v>
      </c>
    </row>
    <row r="41" spans="1:7">
      <c r="A41" s="1804" t="s">
        <v>15</v>
      </c>
      <c r="B41" s="1805" t="e">
        <f t="shared" ref="B41:G41" si="25">SUM(B42:B45)</f>
        <v>#REF!</v>
      </c>
      <c r="C41" s="1805" t="e">
        <f t="shared" si="25"/>
        <v>#REF!</v>
      </c>
      <c r="D41" s="1805" t="e">
        <f t="shared" si="25"/>
        <v>#REF!</v>
      </c>
      <c r="E41" s="1805" t="e">
        <f t="shared" si="25"/>
        <v>#REF!</v>
      </c>
      <c r="F41" s="1805" t="e">
        <f t="shared" si="25"/>
        <v>#REF!</v>
      </c>
      <c r="G41" s="1805" t="e">
        <f t="shared" si="25"/>
        <v>#REF!</v>
      </c>
    </row>
    <row r="42" spans="1:7">
      <c r="A42" s="1806" t="e">
        <f t="shared" ref="A42:A45" si="26">A36</f>
        <v>#REF!</v>
      </c>
      <c r="B42" s="1807" t="e">
        <f t="shared" ref="B42:B45" si="27">SUM(C42:G42)</f>
        <v>#REF!</v>
      </c>
      <c r="C42" s="1810" t="e">
        <f t="shared" ref="C42:G45" si="28">C30+C24+C18+C12</f>
        <v>#REF!</v>
      </c>
      <c r="D42" s="1810" t="e">
        <f t="shared" si="28"/>
        <v>#REF!</v>
      </c>
      <c r="E42" s="1810" t="e">
        <f t="shared" si="28"/>
        <v>#REF!</v>
      </c>
      <c r="F42" s="1810" t="e">
        <f t="shared" si="28"/>
        <v>#REF!</v>
      </c>
      <c r="G42" s="1810" t="e">
        <f t="shared" si="28"/>
        <v>#REF!</v>
      </c>
    </row>
    <row r="43" spans="1:7">
      <c r="A43" s="1806" t="e">
        <f>A7</f>
        <v>#REF!</v>
      </c>
      <c r="B43" s="1807" t="e">
        <f t="shared" si="27"/>
        <v>#REF!</v>
      </c>
      <c r="C43" s="1810" t="e">
        <f t="shared" si="28"/>
        <v>#REF!</v>
      </c>
      <c r="D43" s="1810" t="e">
        <f t="shared" si="28"/>
        <v>#REF!</v>
      </c>
      <c r="E43" s="1810" t="e">
        <f t="shared" si="28"/>
        <v>#REF!</v>
      </c>
      <c r="F43" s="1810" t="e">
        <f t="shared" si="28"/>
        <v>#REF!</v>
      </c>
      <c r="G43" s="1810" t="e">
        <f t="shared" si="28"/>
        <v>#REF!</v>
      </c>
    </row>
    <row r="44" spans="1:7">
      <c r="A44" s="1806" t="e">
        <f t="shared" si="26"/>
        <v>#REF!</v>
      </c>
      <c r="B44" s="1807" t="e">
        <f t="shared" si="27"/>
        <v>#REF!</v>
      </c>
      <c r="C44" s="1810" t="e">
        <f t="shared" si="28"/>
        <v>#REF!</v>
      </c>
      <c r="D44" s="1810" t="e">
        <f t="shared" si="28"/>
        <v>#REF!</v>
      </c>
      <c r="E44" s="1810" t="e">
        <f t="shared" si="28"/>
        <v>#REF!</v>
      </c>
      <c r="F44" s="1810" t="e">
        <f t="shared" si="28"/>
        <v>#REF!</v>
      </c>
      <c r="G44" s="1810" t="e">
        <f t="shared" si="28"/>
        <v>#REF!</v>
      </c>
    </row>
    <row r="45" spans="1:7">
      <c r="A45" s="1806" t="e">
        <f t="shared" si="26"/>
        <v>#REF!</v>
      </c>
      <c r="B45" s="1807" t="e">
        <f t="shared" si="27"/>
        <v>#REF!</v>
      </c>
      <c r="C45" s="1810" t="e">
        <f t="shared" si="28"/>
        <v>#REF!</v>
      </c>
      <c r="D45" s="1810" t="e">
        <f t="shared" si="28"/>
        <v>#REF!</v>
      </c>
      <c r="E45" s="1810" t="e">
        <f t="shared" si="28"/>
        <v>#REF!</v>
      </c>
      <c r="F45" s="1810" t="e">
        <f t="shared" si="28"/>
        <v>#REF!</v>
      </c>
      <c r="G45" s="1810" t="e">
        <f t="shared" si="28"/>
        <v>#REF!</v>
      </c>
    </row>
    <row r="47" spans="1:7">
      <c r="A47" s="1804" t="s">
        <v>16</v>
      </c>
      <c r="B47" s="1812" t="e">
        <f t="shared" ref="B47:G47" si="29">IF(B41=0,0,B35/B41)</f>
        <v>#REF!</v>
      </c>
      <c r="C47" s="1812" t="e">
        <f t="shared" si="29"/>
        <v>#REF!</v>
      </c>
      <c r="D47" s="1812" t="e">
        <f t="shared" si="29"/>
        <v>#REF!</v>
      </c>
      <c r="E47" s="1812" t="e">
        <f t="shared" si="29"/>
        <v>#REF!</v>
      </c>
      <c r="F47" s="1812" t="e">
        <f t="shared" si="29"/>
        <v>#REF!</v>
      </c>
      <c r="G47" s="1812" t="e">
        <f t="shared" si="29"/>
        <v>#REF!</v>
      </c>
    </row>
    <row r="48" spans="1:7">
      <c r="A48" s="1806" t="e">
        <f t="shared" ref="A48:A51" si="30">A42</f>
        <v>#REF!</v>
      </c>
      <c r="B48" s="1812" t="e">
        <f t="shared" ref="B48:B51" si="31">B36/B42</f>
        <v>#REF!</v>
      </c>
      <c r="C48" s="1813" t="e">
        <f t="shared" ref="C48:G51" si="32">IF(C42=0,0,C36/C42)</f>
        <v>#REF!</v>
      </c>
      <c r="D48" s="1813" t="e">
        <f t="shared" si="32"/>
        <v>#REF!</v>
      </c>
      <c r="E48" s="1813" t="e">
        <f t="shared" si="32"/>
        <v>#REF!</v>
      </c>
      <c r="F48" s="1813" t="e">
        <f t="shared" si="32"/>
        <v>#REF!</v>
      </c>
      <c r="G48" s="1813" t="e">
        <f t="shared" si="32"/>
        <v>#REF!</v>
      </c>
    </row>
    <row r="49" spans="1:7">
      <c r="A49" s="1806" t="e">
        <f>A7</f>
        <v>#REF!</v>
      </c>
      <c r="B49" s="1812" t="e">
        <f t="shared" si="31"/>
        <v>#REF!</v>
      </c>
      <c r="C49" s="1813" t="e">
        <f t="shared" si="32"/>
        <v>#REF!</v>
      </c>
      <c r="D49" s="1813" t="e">
        <f t="shared" si="32"/>
        <v>#REF!</v>
      </c>
      <c r="E49" s="1813" t="e">
        <f t="shared" si="32"/>
        <v>#REF!</v>
      </c>
      <c r="F49" s="1813" t="e">
        <f t="shared" si="32"/>
        <v>#REF!</v>
      </c>
      <c r="G49" s="1813" t="e">
        <f t="shared" si="32"/>
        <v>#REF!</v>
      </c>
    </row>
    <row r="50" spans="1:7">
      <c r="A50" s="1806" t="e">
        <f t="shared" si="30"/>
        <v>#REF!</v>
      </c>
      <c r="B50" s="1812" t="e">
        <f t="shared" si="31"/>
        <v>#REF!</v>
      </c>
      <c r="C50" s="1813" t="e">
        <f t="shared" si="32"/>
        <v>#REF!</v>
      </c>
      <c r="D50" s="1813" t="e">
        <f t="shared" si="32"/>
        <v>#REF!</v>
      </c>
      <c r="E50" s="1813" t="e">
        <f t="shared" si="32"/>
        <v>#REF!</v>
      </c>
      <c r="F50" s="1813" t="e">
        <f t="shared" si="32"/>
        <v>#REF!</v>
      </c>
      <c r="G50" s="1813" t="e">
        <f t="shared" si="32"/>
        <v>#REF!</v>
      </c>
    </row>
    <row r="51" spans="1:7">
      <c r="A51" s="1806" t="e">
        <f t="shared" si="30"/>
        <v>#REF!</v>
      </c>
      <c r="B51" s="1812" t="e">
        <f t="shared" si="31"/>
        <v>#REF!</v>
      </c>
      <c r="C51" s="1813" t="e">
        <f t="shared" si="32"/>
        <v>#REF!</v>
      </c>
      <c r="D51" s="1813" t="e">
        <f t="shared" si="32"/>
        <v>#REF!</v>
      </c>
      <c r="E51" s="1813" t="e">
        <f t="shared" si="32"/>
        <v>#REF!</v>
      </c>
      <c r="F51" s="1813" t="e">
        <f t="shared" si="32"/>
        <v>#REF!</v>
      </c>
      <c r="G51" s="1813" t="e">
        <f t="shared" si="32"/>
        <v>#REF!</v>
      </c>
    </row>
    <row r="53" spans="1:7">
      <c r="A53" s="1804" t="s">
        <v>17</v>
      </c>
      <c r="B53" s="1805" t="e">
        <f t="shared" ref="B53:G53" si="33">SUM(B54:B57)</f>
        <v>#REF!</v>
      </c>
      <c r="C53" s="1805" t="e">
        <f t="shared" si="33"/>
        <v>#REF!</v>
      </c>
      <c r="D53" s="1805" t="e">
        <f t="shared" si="33"/>
        <v>#REF!</v>
      </c>
      <c r="E53" s="1805" t="e">
        <f t="shared" si="33"/>
        <v>#REF!</v>
      </c>
      <c r="F53" s="1805" t="e">
        <f t="shared" si="33"/>
        <v>#REF!</v>
      </c>
      <c r="G53" s="1805" t="e">
        <f t="shared" si="33"/>
        <v>#REF!</v>
      </c>
    </row>
    <row r="54" spans="1:7">
      <c r="A54" s="1806" t="e">
        <f t="shared" ref="A54:A57" si="34">A48</f>
        <v>#REF!</v>
      </c>
      <c r="B54" s="1805" t="e">
        <f t="shared" ref="B54:B57" si="35">SUM(C54:G54)</f>
        <v>#REF!</v>
      </c>
      <c r="C54" s="1810" t="e">
        <f t="shared" ref="C54:G57" si="36">IF(C48&lt;0,0,IF(C48&lt;0.5,C36*0.3,IF(C48&lt;1,C36*0.4-C42*0.05,IF(C48&lt;2,C36*0.5-C42*0.15,C36*0.6-C42*0.35))))</f>
        <v>#REF!</v>
      </c>
      <c r="D54" s="1810" t="e">
        <f t="shared" si="36"/>
        <v>#REF!</v>
      </c>
      <c r="E54" s="1810" t="e">
        <f t="shared" si="36"/>
        <v>#REF!</v>
      </c>
      <c r="F54" s="1810" t="e">
        <f t="shared" si="36"/>
        <v>#REF!</v>
      </c>
      <c r="G54" s="1810" t="e">
        <f t="shared" si="36"/>
        <v>#REF!</v>
      </c>
    </row>
    <row r="55" spans="1:7">
      <c r="A55" s="1806" t="e">
        <f>A7</f>
        <v>#REF!</v>
      </c>
      <c r="B55" s="1805" t="e">
        <f t="shared" si="35"/>
        <v>#REF!</v>
      </c>
      <c r="C55" s="1810" t="e">
        <f t="shared" si="36"/>
        <v>#REF!</v>
      </c>
      <c r="D55" s="1810" t="e">
        <f t="shared" si="36"/>
        <v>#REF!</v>
      </c>
      <c r="E55" s="1810" t="e">
        <f t="shared" si="36"/>
        <v>#REF!</v>
      </c>
      <c r="F55" s="1810" t="e">
        <f t="shared" si="36"/>
        <v>#REF!</v>
      </c>
      <c r="G55" s="1810" t="e">
        <f t="shared" si="36"/>
        <v>#REF!</v>
      </c>
    </row>
    <row r="56" spans="1:7">
      <c r="A56" s="1806" t="e">
        <f t="shared" si="34"/>
        <v>#REF!</v>
      </c>
      <c r="B56" s="1805" t="e">
        <f t="shared" si="35"/>
        <v>#REF!</v>
      </c>
      <c r="C56" s="1810" t="e">
        <f t="shared" si="36"/>
        <v>#REF!</v>
      </c>
      <c r="D56" s="1810" t="e">
        <f t="shared" si="36"/>
        <v>#REF!</v>
      </c>
      <c r="E56" s="1810" t="e">
        <f t="shared" si="36"/>
        <v>#REF!</v>
      </c>
      <c r="F56" s="1810" t="e">
        <f t="shared" si="36"/>
        <v>#REF!</v>
      </c>
      <c r="G56" s="1810" t="e">
        <f t="shared" si="36"/>
        <v>#REF!</v>
      </c>
    </row>
    <row r="57" spans="1:7">
      <c r="A57" s="1806" t="e">
        <f t="shared" si="34"/>
        <v>#REF!</v>
      </c>
      <c r="B57" s="1805" t="e">
        <f t="shared" si="35"/>
        <v>#REF!</v>
      </c>
      <c r="C57" s="1810" t="e">
        <f t="shared" si="36"/>
        <v>#REF!</v>
      </c>
      <c r="D57" s="1810" t="e">
        <f t="shared" si="36"/>
        <v>#REF!</v>
      </c>
      <c r="E57" s="1810" t="e">
        <f t="shared" si="36"/>
        <v>#REF!</v>
      </c>
      <c r="F57" s="1810" t="e">
        <f t="shared" si="36"/>
        <v>#REF!</v>
      </c>
      <c r="G57" s="1810" t="e">
        <f t="shared" si="36"/>
        <v>#REF!</v>
      </c>
    </row>
    <row r="59" spans="2:2">
      <c r="B59" s="1814" t="e">
        <f>B53/B5</f>
        <v>#REF!</v>
      </c>
    </row>
  </sheetData>
  <mergeCells count="4">
    <mergeCell ref="A1:C1"/>
    <mergeCell ref="C3:G3"/>
    <mergeCell ref="A3:A4"/>
    <mergeCell ref="B3:B4"/>
  </mergeCells>
  <pageMargins left="0.75" right="0.75" top="1" bottom="1" header="0.5" footer="0.5"/>
  <pageSetup paperSize="9" orientation="portrait" horizontalDpi="300" verticalDpi="300"/>
  <headerFooter alignWithMargins="0"/>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A1:AC66"/>
  <sheetViews>
    <sheetView zoomScale="70" zoomScaleNormal="70" workbookViewId="0">
      <selection activeCell="A1" sqref="$A1:$XFD1048576"/>
    </sheetView>
  </sheetViews>
  <sheetFormatPr defaultColWidth="9" defaultRowHeight="11.25"/>
  <cols>
    <col min="1" max="1" width="1.6" style="1012" customWidth="1"/>
    <col min="2" max="2" width="4" style="1012" customWidth="1"/>
    <col min="3" max="3" width="14.4" style="1012" customWidth="1"/>
    <col min="4" max="4" width="8.6" style="1012" customWidth="1"/>
    <col min="5" max="5" width="7.4" style="1012" customWidth="1"/>
    <col min="6" max="6" width="7.6" style="1012" customWidth="1"/>
    <col min="7" max="10" width="10.4" style="1012" customWidth="1"/>
    <col min="11" max="11" width="7.5" style="1012" customWidth="1"/>
    <col min="12" max="12" width="9.1" style="1012" customWidth="1"/>
    <col min="13" max="15" width="6" style="1012" customWidth="1"/>
    <col min="16" max="18" width="5" style="1012" customWidth="1"/>
    <col min="19" max="19" width="2.9" style="1012" customWidth="1"/>
    <col min="20" max="16384" width="9" style="1012"/>
  </cols>
  <sheetData>
    <row r="1" ht="22.5" customHeight="1" spans="2:15">
      <c r="B1" s="397" t="s">
        <v>1224</v>
      </c>
      <c r="C1" s="397"/>
      <c r="D1" s="397"/>
      <c r="E1" s="397"/>
      <c r="F1" s="397"/>
      <c r="G1" s="397"/>
      <c r="H1" s="397"/>
      <c r="I1" s="397"/>
      <c r="J1" s="397"/>
      <c r="K1" s="397"/>
      <c r="L1" s="397"/>
      <c r="M1" s="397"/>
      <c r="N1" s="397"/>
      <c r="O1" s="397"/>
    </row>
    <row r="2" ht="15" customHeight="1" spans="2:16">
      <c r="B2" s="1013" t="s">
        <v>1225</v>
      </c>
      <c r="C2" s="1014"/>
      <c r="D2" s="1015">
        <v>65262.6</v>
      </c>
      <c r="E2" s="1015"/>
      <c r="F2" s="1016" t="s">
        <v>655</v>
      </c>
      <c r="G2" s="1017" t="s">
        <v>1226</v>
      </c>
      <c r="H2" s="1017"/>
      <c r="I2" s="1015">
        <v>65262.6</v>
      </c>
      <c r="J2" s="1015"/>
      <c r="K2" s="1082" t="s">
        <v>655</v>
      </c>
      <c r="L2" s="1083" t="s">
        <v>1227</v>
      </c>
      <c r="M2" s="1084">
        <v>273546.150452951</v>
      </c>
      <c r="N2" s="1084"/>
      <c r="O2" s="1085" t="s">
        <v>655</v>
      </c>
      <c r="P2" s="1086"/>
    </row>
    <row r="3" ht="15" customHeight="1" spans="2:16">
      <c r="B3" s="1018" t="s">
        <v>598</v>
      </c>
      <c r="C3" s="1019"/>
      <c r="D3" s="1020">
        <v>9935</v>
      </c>
      <c r="E3" s="1020"/>
      <c r="F3" s="1021" t="s">
        <v>655</v>
      </c>
      <c r="G3" s="1022" t="s">
        <v>1228</v>
      </c>
      <c r="H3" s="1022"/>
      <c r="I3" s="1087">
        <v>0.152231140040391</v>
      </c>
      <c r="J3" s="1087"/>
      <c r="K3" s="1087"/>
      <c r="L3" s="1088" t="s">
        <v>1229</v>
      </c>
      <c r="M3" s="1089">
        <v>0.35</v>
      </c>
      <c r="N3" s="1089"/>
      <c r="O3" s="1090"/>
      <c r="P3" s="1086"/>
    </row>
    <row r="4" ht="15" customHeight="1" spans="2:16">
      <c r="B4" s="1023" t="s">
        <v>177</v>
      </c>
      <c r="C4" s="1024"/>
      <c r="D4" s="1020">
        <v>208000</v>
      </c>
      <c r="E4" s="1020"/>
      <c r="F4" s="1021" t="s">
        <v>655</v>
      </c>
      <c r="G4" s="1022" t="s">
        <v>173</v>
      </c>
      <c r="H4" s="1022"/>
      <c r="I4" s="1091">
        <v>3.18712401896339</v>
      </c>
      <c r="J4" s="1091"/>
      <c r="K4" s="1091"/>
      <c r="L4" s="1088" t="s">
        <v>1057</v>
      </c>
      <c r="M4" s="1061">
        <v>1400</v>
      </c>
      <c r="N4" s="1061"/>
      <c r="O4" s="1092" t="s">
        <v>837</v>
      </c>
      <c r="P4" s="1086"/>
    </row>
    <row r="5" s="1010" customFormat="1" ht="15" customHeight="1" spans="2:16">
      <c r="B5" s="1025" t="s">
        <v>1230</v>
      </c>
      <c r="C5" s="1026"/>
      <c r="D5" s="1027" t="s">
        <v>1035</v>
      </c>
      <c r="E5" s="1028"/>
      <c r="F5" s="1028" t="s">
        <v>1037</v>
      </c>
      <c r="G5" s="1028"/>
      <c r="H5" s="1028"/>
      <c r="I5" s="1028" t="s">
        <v>1039</v>
      </c>
      <c r="J5" s="1093"/>
      <c r="K5" s="1094"/>
      <c r="L5" s="1088"/>
      <c r="M5" s="1095" t="s">
        <v>1231</v>
      </c>
      <c r="N5" s="1096"/>
      <c r="O5" s="1097"/>
      <c r="P5" s="1098"/>
    </row>
    <row r="6" s="1010" customFormat="1" ht="15" customHeight="1" spans="2:16">
      <c r="B6" s="1029">
        <v>8922.42</v>
      </c>
      <c r="C6" s="1030"/>
      <c r="D6" s="1031">
        <v>6526.26</v>
      </c>
      <c r="E6" s="1032"/>
      <c r="F6" s="1032">
        <v>2396.16</v>
      </c>
      <c r="G6" s="1032"/>
      <c r="H6" s="1032"/>
      <c r="I6" s="1099"/>
      <c r="J6" s="1100"/>
      <c r="K6" s="1101"/>
      <c r="L6" s="1102"/>
      <c r="M6" s="1103"/>
      <c r="N6" s="1103"/>
      <c r="O6" s="1104"/>
      <c r="P6" s="1098"/>
    </row>
    <row r="7" s="1010" customFormat="1" ht="15" customHeight="1" spans="2:19">
      <c r="B7" s="1025" t="s">
        <v>1232</v>
      </c>
      <c r="C7" s="1026"/>
      <c r="D7" s="1027" t="s">
        <v>1233</v>
      </c>
      <c r="E7" s="1028" t="s">
        <v>1234</v>
      </c>
      <c r="F7" s="1028"/>
      <c r="G7" s="1027" t="s">
        <v>1043</v>
      </c>
      <c r="H7" s="1028" t="s">
        <v>1045</v>
      </c>
      <c r="I7" s="1028" t="s">
        <v>1047</v>
      </c>
      <c r="J7" s="1028" t="s">
        <v>1235</v>
      </c>
      <c r="K7" s="1028" t="s">
        <v>1236</v>
      </c>
      <c r="L7" s="1093"/>
      <c r="M7" s="1094" t="s">
        <v>1237</v>
      </c>
      <c r="N7" s="1088"/>
      <c r="O7" s="1105"/>
      <c r="P7" s="1106"/>
      <c r="Q7" s="1143"/>
      <c r="R7" s="1143"/>
      <c r="S7" s="1143"/>
    </row>
    <row r="8" s="1010" customFormat="1" ht="15" customHeight="1" spans="2:18">
      <c r="B8" s="1033">
        <v>46405.18</v>
      </c>
      <c r="C8" s="1034"/>
      <c r="D8" s="1035">
        <v>22841.91</v>
      </c>
      <c r="E8" s="1036"/>
      <c r="F8" s="1036"/>
      <c r="G8" s="1035">
        <v>23563.27</v>
      </c>
      <c r="H8" s="1036"/>
      <c r="I8" s="1036"/>
      <c r="J8" s="1036"/>
      <c r="K8" s="1036"/>
      <c r="L8" s="1107"/>
      <c r="M8" s="1108"/>
      <c r="N8" s="1109"/>
      <c r="O8" s="1110"/>
      <c r="P8" s="1098"/>
      <c r="R8" s="1098"/>
    </row>
    <row r="9" s="1011" customFormat="1" ht="14.25" hidden="1" customHeight="1" outlineLevel="1" spans="1:29">
      <c r="A9" s="1037"/>
      <c r="B9" s="1032">
        <v>1</v>
      </c>
      <c r="C9" s="1038" t="s">
        <v>1238</v>
      </c>
      <c r="D9" s="1039"/>
      <c r="E9" s="1032"/>
      <c r="F9" s="1032"/>
      <c r="G9" s="1032"/>
      <c r="H9" s="1032"/>
      <c r="I9" s="1032"/>
      <c r="J9" s="1032"/>
      <c r="K9" s="1032"/>
      <c r="L9" s="1032"/>
      <c r="M9" s="1032"/>
      <c r="N9" s="1032"/>
      <c r="O9" s="1032"/>
      <c r="P9" s="1111"/>
      <c r="T9" s="1144"/>
      <c r="V9" s="1145"/>
      <c r="W9" s="1145"/>
      <c r="X9" s="1145"/>
      <c r="Y9" s="1145"/>
      <c r="Z9" s="1145"/>
      <c r="AA9" s="1145"/>
      <c r="AB9" s="1145"/>
      <c r="AC9" s="1145"/>
    </row>
    <row r="10" s="1011" customFormat="1" ht="14.25" hidden="1" customHeight="1" outlineLevel="1" spans="2:29">
      <c r="B10" s="1032">
        <v>2</v>
      </c>
      <c r="C10" s="1038" t="s">
        <v>1239</v>
      </c>
      <c r="D10" s="1039"/>
      <c r="E10" s="1032"/>
      <c r="F10" s="1032"/>
      <c r="G10" s="1032"/>
      <c r="H10" s="1032"/>
      <c r="I10" s="1032"/>
      <c r="J10" s="1032"/>
      <c r="K10" s="1032"/>
      <c r="L10" s="1032"/>
      <c r="M10" s="1032"/>
      <c r="N10" s="1032"/>
      <c r="O10" s="1032"/>
      <c r="P10" s="1039"/>
      <c r="T10" s="1146"/>
      <c r="V10" s="1145"/>
      <c r="W10" s="1145"/>
      <c r="X10" s="1145"/>
      <c r="Y10" s="1145"/>
      <c r="Z10" s="1145"/>
      <c r="AA10" s="1145"/>
      <c r="AB10" s="1145"/>
      <c r="AC10" s="1145"/>
    </row>
    <row r="11" s="1011" customFormat="1" ht="14.25" hidden="1" customHeight="1" outlineLevel="1" spans="2:29">
      <c r="B11" s="1032">
        <v>3</v>
      </c>
      <c r="C11" s="1038" t="s">
        <v>1240</v>
      </c>
      <c r="D11" s="1039"/>
      <c r="E11" s="1032"/>
      <c r="F11" s="1032"/>
      <c r="G11" s="1032"/>
      <c r="H11" s="1032"/>
      <c r="I11" s="1032"/>
      <c r="J11" s="1032"/>
      <c r="K11" s="1032"/>
      <c r="L11" s="1032"/>
      <c r="M11" s="1032"/>
      <c r="N11" s="1032"/>
      <c r="O11" s="1032"/>
      <c r="P11" s="1039"/>
      <c r="T11" s="1146"/>
      <c r="V11" s="1145"/>
      <c r="W11" s="1145"/>
      <c r="X11" s="1145"/>
      <c r="Y11" s="1145"/>
      <c r="Z11" s="1145"/>
      <c r="AA11" s="1145"/>
      <c r="AB11" s="1145"/>
      <c r="AC11" s="1145"/>
    </row>
    <row r="12" s="1011" customFormat="1" ht="14.25" hidden="1" customHeight="1" outlineLevel="1" spans="2:29">
      <c r="B12" s="1032">
        <v>4</v>
      </c>
      <c r="C12" s="1038" t="s">
        <v>1241</v>
      </c>
      <c r="D12" s="1039"/>
      <c r="E12" s="1032"/>
      <c r="F12" s="1032"/>
      <c r="G12" s="1032"/>
      <c r="H12" s="1032"/>
      <c r="I12" s="1032"/>
      <c r="J12" s="1032"/>
      <c r="K12" s="1032"/>
      <c r="L12" s="1032"/>
      <c r="M12" s="1032"/>
      <c r="N12" s="1032"/>
      <c r="O12" s="1032"/>
      <c r="P12" s="1039"/>
      <c r="T12" s="1146"/>
      <c r="V12" s="1145"/>
      <c r="W12" s="1145"/>
      <c r="X12" s="1145"/>
      <c r="Y12" s="1145"/>
      <c r="Z12" s="1145"/>
      <c r="AA12" s="1145"/>
      <c r="AB12" s="1145"/>
      <c r="AC12" s="1145"/>
    </row>
    <row r="13" s="1011" customFormat="1" ht="14.25" hidden="1" customHeight="1" outlineLevel="1" spans="2:29">
      <c r="B13" s="1032">
        <v>5</v>
      </c>
      <c r="C13" s="1038" t="s">
        <v>1242</v>
      </c>
      <c r="D13" s="1032"/>
      <c r="E13" s="1032"/>
      <c r="F13" s="1032"/>
      <c r="G13" s="1032"/>
      <c r="H13" s="1032"/>
      <c r="I13" s="1032"/>
      <c r="J13" s="1032"/>
      <c r="K13" s="1032"/>
      <c r="L13" s="1032"/>
      <c r="M13" s="1032"/>
      <c r="N13" s="1032"/>
      <c r="O13" s="1032"/>
      <c r="P13" s="1039"/>
      <c r="T13" s="1146"/>
      <c r="V13" s="1145"/>
      <c r="W13" s="1145"/>
      <c r="X13" s="1145"/>
      <c r="Y13" s="1145"/>
      <c r="Z13" s="1145"/>
      <c r="AA13" s="1145"/>
      <c r="AB13" s="1145"/>
      <c r="AC13" s="1145"/>
    </row>
    <row r="14" s="1011" customFormat="1" ht="14.25" hidden="1" customHeight="1" outlineLevel="1" spans="2:29">
      <c r="B14" s="1032">
        <v>6</v>
      </c>
      <c r="C14" s="1040" t="s">
        <v>1243</v>
      </c>
      <c r="D14" s="1032"/>
      <c r="E14" s="1032"/>
      <c r="F14" s="1032"/>
      <c r="G14" s="1032"/>
      <c r="H14" s="1032"/>
      <c r="I14" s="1032"/>
      <c r="J14" s="1032"/>
      <c r="K14" s="1032"/>
      <c r="L14" s="1032"/>
      <c r="M14" s="1032"/>
      <c r="N14" s="1032"/>
      <c r="O14" s="1032"/>
      <c r="P14" s="1039"/>
      <c r="T14" s="1146"/>
      <c r="V14" s="1145"/>
      <c r="W14" s="1145"/>
      <c r="X14" s="1145"/>
      <c r="Y14" s="1145"/>
      <c r="Z14" s="1145"/>
      <c r="AA14" s="1145"/>
      <c r="AB14" s="1145"/>
      <c r="AC14" s="1145"/>
    </row>
    <row r="15" s="1011" customFormat="1" ht="14.25" hidden="1" customHeight="1" outlineLevel="1" spans="2:29">
      <c r="B15" s="1032">
        <v>7</v>
      </c>
      <c r="C15" s="1038" t="s">
        <v>1244</v>
      </c>
      <c r="D15" s="1032"/>
      <c r="E15" s="1032"/>
      <c r="F15" s="1032"/>
      <c r="G15" s="1032"/>
      <c r="H15" s="1032"/>
      <c r="I15" s="1032"/>
      <c r="J15" s="1032"/>
      <c r="K15" s="1032"/>
      <c r="L15" s="1032"/>
      <c r="M15" s="1032"/>
      <c r="N15" s="1032"/>
      <c r="O15" s="1032"/>
      <c r="P15" s="1039"/>
      <c r="T15" s="1146"/>
      <c r="V15" s="1145"/>
      <c r="W15" s="1145"/>
      <c r="X15" s="1145"/>
      <c r="Y15" s="1145"/>
      <c r="Z15" s="1145"/>
      <c r="AA15" s="1145"/>
      <c r="AB15" s="1145"/>
      <c r="AC15" s="1145"/>
    </row>
    <row r="16" s="1011" customFormat="1" ht="14.25" hidden="1" customHeight="1" outlineLevel="1" spans="2:29">
      <c r="B16" s="1032">
        <v>8</v>
      </c>
      <c r="C16" s="1038" t="s">
        <v>1245</v>
      </c>
      <c r="D16" s="1032"/>
      <c r="E16" s="1032"/>
      <c r="F16" s="1032"/>
      <c r="G16" s="1032"/>
      <c r="H16" s="1032"/>
      <c r="I16" s="1032"/>
      <c r="J16" s="1032"/>
      <c r="K16" s="1032"/>
      <c r="L16" s="1032"/>
      <c r="M16" s="1032"/>
      <c r="N16" s="1032"/>
      <c r="O16" s="1032"/>
      <c r="P16" s="1039"/>
      <c r="T16" s="1146"/>
      <c r="V16" s="1145"/>
      <c r="W16" s="1145"/>
      <c r="X16" s="1145"/>
      <c r="Y16" s="1145"/>
      <c r="Z16" s="1145"/>
      <c r="AA16" s="1145"/>
      <c r="AB16" s="1145"/>
      <c r="AC16" s="1145"/>
    </row>
    <row r="17" s="1011" customFormat="1" ht="14.25" customHeight="1" collapsed="1" spans="2:29">
      <c r="B17" s="1032"/>
      <c r="C17" s="1032" t="s">
        <v>1246</v>
      </c>
      <c r="D17" s="1032">
        <v>0</v>
      </c>
      <c r="E17" s="1038" t="s">
        <v>1247</v>
      </c>
      <c r="F17" s="1032"/>
      <c r="G17" s="1032"/>
      <c r="H17" s="1032"/>
      <c r="I17" s="1032"/>
      <c r="J17" s="1032"/>
      <c r="K17" s="1032"/>
      <c r="L17" s="1032"/>
      <c r="M17" s="1032"/>
      <c r="N17" s="1032"/>
      <c r="O17" s="1112"/>
      <c r="P17" s="1039"/>
      <c r="T17" s="1144"/>
      <c r="V17" s="1145"/>
      <c r="W17" s="1145"/>
      <c r="X17" s="1145"/>
      <c r="Y17" s="1145"/>
      <c r="Z17" s="1145"/>
      <c r="AA17" s="1145"/>
      <c r="AB17" s="1145"/>
      <c r="AC17" s="1145"/>
    </row>
    <row r="18" ht="15" customHeight="1" spans="2:16">
      <c r="B18" s="1041"/>
      <c r="C18" s="1042"/>
      <c r="D18" s="1042"/>
      <c r="E18" s="1042"/>
      <c r="F18" s="1042"/>
      <c r="G18" s="1042"/>
      <c r="H18" s="1042"/>
      <c r="I18" s="1042"/>
      <c r="J18" s="1042"/>
      <c r="K18" s="1042"/>
      <c r="L18" s="1042"/>
      <c r="M18" s="1042"/>
      <c r="N18" s="1042"/>
      <c r="O18" s="1113"/>
      <c r="P18" s="1098"/>
    </row>
    <row r="19" ht="33.9" customHeight="1" spans="2:18">
      <c r="B19" s="1043" t="s">
        <v>1248</v>
      </c>
      <c r="C19" s="1044"/>
      <c r="D19" s="1044" t="s">
        <v>167</v>
      </c>
      <c r="E19" s="1044" t="s">
        <v>173</v>
      </c>
      <c r="F19" s="1044" t="s">
        <v>600</v>
      </c>
      <c r="G19" s="1044" t="s">
        <v>598</v>
      </c>
      <c r="H19" s="1044" t="s">
        <v>505</v>
      </c>
      <c r="I19" s="1044" t="s">
        <v>399</v>
      </c>
      <c r="J19" s="1044" t="s">
        <v>1249</v>
      </c>
      <c r="K19" s="1114" t="s">
        <v>1250</v>
      </c>
      <c r="L19" s="1044" t="s">
        <v>1251</v>
      </c>
      <c r="M19" s="1115" t="s">
        <v>602</v>
      </c>
      <c r="N19" s="1115" t="s">
        <v>601</v>
      </c>
      <c r="O19" s="1115" t="s">
        <v>1252</v>
      </c>
      <c r="P19" s="1116" t="s">
        <v>1253</v>
      </c>
      <c r="Q19" s="1147" t="s">
        <v>1254</v>
      </c>
      <c r="R19" s="1148" t="s">
        <v>1255</v>
      </c>
    </row>
    <row r="20" ht="16.35" customHeight="1" spans="2:18">
      <c r="B20" s="1045" t="s">
        <v>1256</v>
      </c>
      <c r="C20" s="1046" t="s">
        <v>1257</v>
      </c>
      <c r="D20" s="1047"/>
      <c r="E20" s="1048"/>
      <c r="F20" s="1020"/>
      <c r="G20" s="1020"/>
      <c r="H20" s="1047"/>
      <c r="I20" s="1020"/>
      <c r="J20" s="1117"/>
      <c r="K20" s="1118"/>
      <c r="L20" s="1020"/>
      <c r="M20" s="1047"/>
      <c r="N20" s="1047"/>
      <c r="O20" s="1047"/>
      <c r="P20" s="1047"/>
      <c r="Q20" s="1149"/>
      <c r="R20" s="1150"/>
    </row>
    <row r="21" ht="16.35" customHeight="1" spans="2:19">
      <c r="B21" s="1049"/>
      <c r="C21" s="1046" t="s">
        <v>195</v>
      </c>
      <c r="D21" s="1020">
        <v>55667.6</v>
      </c>
      <c r="E21" s="1050">
        <v>3.36281786892196</v>
      </c>
      <c r="F21" s="1020">
        <v>15</v>
      </c>
      <c r="G21" s="1051">
        <v>5650</v>
      </c>
      <c r="H21" s="1051">
        <v>187200</v>
      </c>
      <c r="I21" s="1020">
        <v>187200</v>
      </c>
      <c r="J21" s="1117"/>
      <c r="K21" s="1119">
        <v>0.920399233000639</v>
      </c>
      <c r="L21" s="1020">
        <v>140.963855421687</v>
      </c>
      <c r="M21" s="1020">
        <v>15</v>
      </c>
      <c r="N21" s="1051">
        <v>1328</v>
      </c>
      <c r="O21" s="1020">
        <v>33</v>
      </c>
      <c r="P21" s="1050">
        <v>3</v>
      </c>
      <c r="Q21" s="1151"/>
      <c r="R21" s="1152"/>
      <c r="S21" s="1153"/>
    </row>
    <row r="22" ht="16.35" customHeight="1" spans="2:19">
      <c r="B22" s="1049"/>
      <c r="C22" s="1046" t="s">
        <v>199</v>
      </c>
      <c r="D22" s="1020">
        <v>3000</v>
      </c>
      <c r="E22" s="1050">
        <v>1</v>
      </c>
      <c r="F22" s="1020">
        <v>3</v>
      </c>
      <c r="G22" s="1051">
        <v>1800</v>
      </c>
      <c r="H22" s="1051">
        <v>3000</v>
      </c>
      <c r="I22" s="1020">
        <v>3000</v>
      </c>
      <c r="J22" s="1120"/>
      <c r="K22" s="1121">
        <v>0.0147499877083436</v>
      </c>
      <c r="L22" s="1020">
        <v>75</v>
      </c>
      <c r="M22" s="1020">
        <v>2</v>
      </c>
      <c r="N22" s="1020">
        <v>40</v>
      </c>
      <c r="O22" s="1020">
        <v>2</v>
      </c>
      <c r="P22" s="1050">
        <v>4.5</v>
      </c>
      <c r="Q22" s="1154"/>
      <c r="R22" s="1152"/>
      <c r="S22" s="1153"/>
    </row>
    <row r="23" ht="16.35" customHeight="1" spans="2:19">
      <c r="B23" s="1049"/>
      <c r="C23" s="1046" t="s">
        <v>63</v>
      </c>
      <c r="D23" s="1047">
        <v>6595</v>
      </c>
      <c r="E23" s="1050">
        <v>2</v>
      </c>
      <c r="F23" s="1020">
        <v>1</v>
      </c>
      <c r="G23" s="1051">
        <v>1300</v>
      </c>
      <c r="H23" s="1052">
        <v>13190</v>
      </c>
      <c r="I23" s="1020">
        <v>13190</v>
      </c>
      <c r="J23" s="1117"/>
      <c r="K23" s="1121">
        <v>0.0648507792910173</v>
      </c>
      <c r="L23" s="1020">
        <v>37.6857142857143</v>
      </c>
      <c r="M23" s="1047">
        <v>1</v>
      </c>
      <c r="N23" s="1047">
        <v>350</v>
      </c>
      <c r="O23" s="1047">
        <v>13</v>
      </c>
      <c r="P23" s="1050">
        <v>3.6</v>
      </c>
      <c r="Q23" s="1149"/>
      <c r="R23" s="1150"/>
      <c r="S23" s="1012" t="s">
        <v>1258</v>
      </c>
    </row>
    <row r="24" ht="16.35" customHeight="1" spans="2:18">
      <c r="B24" s="1049"/>
      <c r="C24" s="1046" t="s">
        <v>245</v>
      </c>
      <c r="D24" s="1047"/>
      <c r="E24" s="1050"/>
      <c r="F24" s="1020"/>
      <c r="G24" s="1020"/>
      <c r="H24" s="1047"/>
      <c r="I24" s="1020"/>
      <c r="J24" s="1117"/>
      <c r="K24" s="1119"/>
      <c r="L24" s="1020"/>
      <c r="M24" s="1047"/>
      <c r="N24" s="1047"/>
      <c r="O24" s="1047"/>
      <c r="P24" s="1122"/>
      <c r="Q24" s="1149"/>
      <c r="R24" s="1150"/>
    </row>
    <row r="25" ht="16.35" customHeight="1" spans="2:18">
      <c r="B25" s="1049"/>
      <c r="C25" s="1046" t="s">
        <v>1259</v>
      </c>
      <c r="D25" s="1047"/>
      <c r="E25" s="1048"/>
      <c r="F25" s="1020"/>
      <c r="G25" s="1020"/>
      <c r="H25" s="1047"/>
      <c r="I25" s="1020"/>
      <c r="J25" s="1117"/>
      <c r="K25" s="1118" t="s">
        <v>511</v>
      </c>
      <c r="L25" s="1020" t="s">
        <v>511</v>
      </c>
      <c r="M25" s="1047"/>
      <c r="N25" s="1047"/>
      <c r="O25" s="1047"/>
      <c r="P25" s="1047"/>
      <c r="Q25" s="1149"/>
      <c r="R25" s="1150"/>
    </row>
    <row r="26" ht="16.35" customHeight="1" spans="2:18">
      <c r="B26" s="1053"/>
      <c r="C26" s="1054" t="s">
        <v>444</v>
      </c>
      <c r="D26" s="1054">
        <v>65262.6</v>
      </c>
      <c r="E26" s="1054">
        <v>3.11648631835079</v>
      </c>
      <c r="F26" s="1054">
        <v>19</v>
      </c>
      <c r="G26" s="1054">
        <v>8750</v>
      </c>
      <c r="H26" s="1054">
        <v>203390</v>
      </c>
      <c r="I26" s="1054">
        <v>203390</v>
      </c>
      <c r="J26" s="1054">
        <v>0</v>
      </c>
      <c r="K26" s="1123">
        <v>1</v>
      </c>
      <c r="L26" s="1054">
        <v>118.387660069849</v>
      </c>
      <c r="M26" s="1054">
        <v>18</v>
      </c>
      <c r="N26" s="1054">
        <v>1718</v>
      </c>
      <c r="O26" s="1054">
        <v>48</v>
      </c>
      <c r="P26" s="1124"/>
      <c r="Q26" s="1155"/>
      <c r="R26" s="1156"/>
    </row>
    <row r="27" ht="16.35" customHeight="1" spans="2:18">
      <c r="B27" s="1045" t="s">
        <v>1260</v>
      </c>
      <c r="C27" s="1046" t="s">
        <v>1261</v>
      </c>
      <c r="D27" s="1047"/>
      <c r="E27" s="1048"/>
      <c r="F27" s="1020"/>
      <c r="G27" s="1020"/>
      <c r="H27" s="1047"/>
      <c r="I27" s="1020"/>
      <c r="J27" s="1117"/>
      <c r="K27" s="1125"/>
      <c r="L27" s="1125"/>
      <c r="M27" s="1125"/>
      <c r="N27" s="1125"/>
      <c r="O27" s="1048"/>
      <c r="P27" s="1126"/>
      <c r="Q27" s="1157"/>
      <c r="R27" s="1158"/>
    </row>
    <row r="28" ht="16.35" customHeight="1" spans="2:18">
      <c r="B28" s="1055"/>
      <c r="C28" s="1046" t="s">
        <v>1262</v>
      </c>
      <c r="D28" s="1020"/>
      <c r="E28" s="1020"/>
      <c r="F28" s="1020"/>
      <c r="G28" s="1047"/>
      <c r="H28" s="1047"/>
      <c r="I28" s="1020"/>
      <c r="J28" s="1117"/>
      <c r="K28" s="1125"/>
      <c r="L28" s="1125"/>
      <c r="M28" s="1125"/>
      <c r="N28" s="1125"/>
      <c r="O28" s="1048"/>
      <c r="P28" s="1126"/>
      <c r="Q28" s="1157"/>
      <c r="R28" s="1150"/>
    </row>
    <row r="29" ht="16.35" customHeight="1" spans="2:18">
      <c r="B29" s="1055"/>
      <c r="C29" s="1056" t="s">
        <v>1263</v>
      </c>
      <c r="D29" s="1057"/>
      <c r="E29" s="1058"/>
      <c r="F29" s="1057"/>
      <c r="G29" s="1057"/>
      <c r="H29" s="1057"/>
      <c r="I29" s="1057"/>
      <c r="J29" s="1117"/>
      <c r="K29" s="1125"/>
      <c r="L29" s="1125"/>
      <c r="M29" s="1125"/>
      <c r="N29" s="1125"/>
      <c r="O29" s="1048"/>
      <c r="P29" s="1126"/>
      <c r="Q29" s="1157"/>
      <c r="R29" s="1150"/>
    </row>
    <row r="30" ht="16.35" customHeight="1" spans="2:18">
      <c r="B30" s="1055"/>
      <c r="C30" s="1056" t="s">
        <v>1264</v>
      </c>
      <c r="D30" s="1047"/>
      <c r="E30" s="1020"/>
      <c r="F30" s="1020"/>
      <c r="G30" s="1047"/>
      <c r="H30" s="1047"/>
      <c r="I30" s="1020"/>
      <c r="J30" s="1117"/>
      <c r="K30" s="1125"/>
      <c r="L30" s="1125"/>
      <c r="M30" s="1125"/>
      <c r="N30" s="1125"/>
      <c r="O30" s="1048"/>
      <c r="P30" s="1126"/>
      <c r="Q30" s="1157"/>
      <c r="R30" s="1150"/>
    </row>
    <row r="31" ht="16.35" customHeight="1" spans="2:18">
      <c r="B31" s="1055"/>
      <c r="C31" s="1056" t="s">
        <v>1265</v>
      </c>
      <c r="D31" s="1047"/>
      <c r="E31" s="1048"/>
      <c r="F31" s="1020"/>
      <c r="G31" s="1020"/>
      <c r="H31" s="1047"/>
      <c r="I31" s="1020"/>
      <c r="J31" s="1117"/>
      <c r="K31" s="1125"/>
      <c r="L31" s="1125"/>
      <c r="M31" s="1125"/>
      <c r="N31" s="1125"/>
      <c r="O31" s="1048"/>
      <c r="P31" s="1126"/>
      <c r="Q31" s="1157"/>
      <c r="R31" s="1150"/>
    </row>
    <row r="32" ht="16.35" customHeight="1" spans="2:18">
      <c r="B32" s="1055"/>
      <c r="C32" s="1046" t="s">
        <v>1266</v>
      </c>
      <c r="D32" s="1047"/>
      <c r="E32" s="1048"/>
      <c r="F32" s="1020"/>
      <c r="G32" s="1020"/>
      <c r="H32" s="1047"/>
      <c r="I32" s="1020"/>
      <c r="J32" s="1117"/>
      <c r="K32" s="1125"/>
      <c r="L32" s="1125"/>
      <c r="M32" s="1125"/>
      <c r="N32" s="1125"/>
      <c r="O32" s="1048"/>
      <c r="P32" s="1126"/>
      <c r="Q32" s="1157"/>
      <c r="R32" s="1150"/>
    </row>
    <row r="33" ht="16.35" customHeight="1" spans="2:18">
      <c r="B33" s="1055"/>
      <c r="C33" s="1046" t="s">
        <v>1267</v>
      </c>
      <c r="D33" s="1047"/>
      <c r="E33" s="1048"/>
      <c r="F33" s="1020"/>
      <c r="G33" s="1020"/>
      <c r="H33" s="1047"/>
      <c r="I33" s="1020"/>
      <c r="J33" s="1117"/>
      <c r="K33" s="1125"/>
      <c r="L33" s="1125"/>
      <c r="M33" s="1125"/>
      <c r="N33" s="1125"/>
      <c r="O33" s="1048"/>
      <c r="P33" s="1126"/>
      <c r="Q33" s="1157"/>
      <c r="R33" s="1150"/>
    </row>
    <row r="34" ht="16.35" customHeight="1" spans="2:18">
      <c r="B34" s="1059"/>
      <c r="C34" s="1054" t="s">
        <v>444</v>
      </c>
      <c r="D34" s="1054">
        <v>0</v>
      </c>
      <c r="E34" s="1054" t="e">
        <v>#DIV/0!</v>
      </c>
      <c r="F34" s="1054">
        <v>0</v>
      </c>
      <c r="G34" s="1054">
        <v>0</v>
      </c>
      <c r="H34" s="1054">
        <v>0</v>
      </c>
      <c r="I34" s="1054">
        <v>0</v>
      </c>
      <c r="J34" s="1054">
        <v>0</v>
      </c>
      <c r="K34" s="1127">
        <v>0</v>
      </c>
      <c r="L34" s="1128"/>
      <c r="M34" s="1128"/>
      <c r="N34" s="1128"/>
      <c r="O34" s="1128"/>
      <c r="P34" s="1128"/>
      <c r="Q34" s="1159"/>
      <c r="R34" s="1160"/>
    </row>
    <row r="35" ht="16.35" customHeight="1" spans="2:16">
      <c r="B35" s="1060"/>
      <c r="C35" s="1046" t="s">
        <v>795</v>
      </c>
      <c r="D35" s="1061"/>
      <c r="E35" s="1048"/>
      <c r="F35" s="1020"/>
      <c r="G35" s="1020"/>
      <c r="H35" s="1051">
        <v>1000</v>
      </c>
      <c r="I35" s="1061"/>
      <c r="J35" s="1061"/>
      <c r="K35" s="1129"/>
      <c r="L35" s="1130" t="s">
        <v>1268</v>
      </c>
      <c r="M35" s="1130"/>
      <c r="N35" s="1130"/>
      <c r="O35" s="1130"/>
      <c r="P35" s="1131"/>
    </row>
    <row r="36" ht="16.35" customHeight="1" spans="2:16">
      <c r="B36" s="1060"/>
      <c r="C36" s="1046" t="s">
        <v>1269</v>
      </c>
      <c r="D36" s="1061"/>
      <c r="E36" s="1048"/>
      <c r="F36" s="1020"/>
      <c r="G36" s="1020">
        <v>600</v>
      </c>
      <c r="H36" s="1051">
        <v>600</v>
      </c>
      <c r="I36" s="1061"/>
      <c r="J36" s="1061"/>
      <c r="K36" s="1129"/>
      <c r="L36" s="1130" t="s">
        <v>1268</v>
      </c>
      <c r="M36" s="1130"/>
      <c r="N36" s="1130"/>
      <c r="O36" s="1130"/>
      <c r="P36" s="1131"/>
    </row>
    <row r="37" ht="16.35" customHeight="1" spans="2:16">
      <c r="B37" s="1060"/>
      <c r="C37" s="1046" t="s">
        <v>1270</v>
      </c>
      <c r="D37" s="1061"/>
      <c r="E37" s="1048"/>
      <c r="F37" s="1020"/>
      <c r="G37" s="1020"/>
      <c r="H37" s="1051">
        <v>80</v>
      </c>
      <c r="I37" s="1061"/>
      <c r="J37" s="1061"/>
      <c r="K37" s="1129"/>
      <c r="L37" s="1130" t="s">
        <v>1268</v>
      </c>
      <c r="M37" s="1130"/>
      <c r="N37" s="1130"/>
      <c r="O37" s="1130"/>
      <c r="P37" s="1131"/>
    </row>
    <row r="38" ht="16.35" customHeight="1" spans="2:16">
      <c r="B38" s="1060"/>
      <c r="C38" s="1046" t="s">
        <v>1271</v>
      </c>
      <c r="D38" s="1061"/>
      <c r="E38" s="1048"/>
      <c r="F38" s="1020"/>
      <c r="G38" s="1020"/>
      <c r="H38" s="1051">
        <v>60</v>
      </c>
      <c r="I38" s="1061"/>
      <c r="J38" s="1061"/>
      <c r="K38" s="1129"/>
      <c r="L38" s="1130" t="s">
        <v>1268</v>
      </c>
      <c r="M38" s="1130"/>
      <c r="N38" s="1130"/>
      <c r="O38" s="1130"/>
      <c r="P38" s="1131"/>
    </row>
    <row r="39" ht="16.35" customHeight="1" spans="2:16">
      <c r="B39" s="1060"/>
      <c r="C39" s="1046" t="s">
        <v>776</v>
      </c>
      <c r="D39" s="1061"/>
      <c r="E39" s="1048"/>
      <c r="F39" s="1020"/>
      <c r="G39" s="1020">
        <v>585</v>
      </c>
      <c r="H39" s="1051">
        <v>1170</v>
      </c>
      <c r="I39" s="1061"/>
      <c r="J39" s="1061"/>
      <c r="K39" s="1129"/>
      <c r="L39" s="1130" t="s">
        <v>1268</v>
      </c>
      <c r="M39" s="1130"/>
      <c r="N39" s="1130"/>
      <c r="O39" s="1130"/>
      <c r="P39" s="1131"/>
    </row>
    <row r="40" ht="16.35" customHeight="1" spans="2:16">
      <c r="B40" s="1060"/>
      <c r="C40" s="1046" t="s">
        <v>1272</v>
      </c>
      <c r="D40" s="1061"/>
      <c r="E40" s="1048"/>
      <c r="F40" s="1020"/>
      <c r="G40" s="1020"/>
      <c r="H40" s="1051">
        <v>1200</v>
      </c>
      <c r="I40" s="1061"/>
      <c r="J40" s="1061"/>
      <c r="K40" s="1129"/>
      <c r="L40" s="1130" t="s">
        <v>1268</v>
      </c>
      <c r="M40" s="1130"/>
      <c r="N40" s="1130"/>
      <c r="O40" s="1130"/>
      <c r="P40" s="1131"/>
    </row>
    <row r="41" ht="16.35" customHeight="1" spans="2:16">
      <c r="B41" s="1060"/>
      <c r="C41" s="1046" t="s">
        <v>1273</v>
      </c>
      <c r="D41" s="1061"/>
      <c r="E41" s="1048"/>
      <c r="F41" s="1020"/>
      <c r="G41" s="1020"/>
      <c r="H41" s="1051"/>
      <c r="I41" s="1061"/>
      <c r="J41" s="1061"/>
      <c r="K41" s="1129"/>
      <c r="L41" s="1130" t="s">
        <v>1268</v>
      </c>
      <c r="M41" s="1130"/>
      <c r="N41" s="1130"/>
      <c r="O41" s="1130"/>
      <c r="P41" s="1131"/>
    </row>
    <row r="42" ht="16.35" customHeight="1" spans="2:16">
      <c r="B42" s="1060"/>
      <c r="C42" s="1046" t="s">
        <v>784</v>
      </c>
      <c r="D42" s="1061"/>
      <c r="E42" s="1048"/>
      <c r="F42" s="1020"/>
      <c r="G42" s="1020"/>
      <c r="H42" s="1051"/>
      <c r="I42" s="1061"/>
      <c r="J42" s="1061"/>
      <c r="K42" s="1129"/>
      <c r="L42" s="1130" t="s">
        <v>1274</v>
      </c>
      <c r="M42" s="1130"/>
      <c r="N42" s="1130"/>
      <c r="O42" s="1130"/>
      <c r="P42" s="1131"/>
    </row>
    <row r="43" ht="16.35" customHeight="1" spans="2:16">
      <c r="B43" s="1060"/>
      <c r="C43" s="1062" t="s">
        <v>1275</v>
      </c>
      <c r="D43" s="1061"/>
      <c r="E43" s="1048"/>
      <c r="F43" s="1020"/>
      <c r="G43" s="1020"/>
      <c r="H43" s="1051">
        <v>500</v>
      </c>
      <c r="I43" s="1061"/>
      <c r="J43" s="1061"/>
      <c r="K43" s="1129"/>
      <c r="L43" s="1130" t="s">
        <v>1274</v>
      </c>
      <c r="M43" s="1130"/>
      <c r="N43" s="1130"/>
      <c r="O43" s="1130"/>
      <c r="P43" s="1131"/>
    </row>
    <row r="44" ht="16.35" customHeight="1" spans="2:16">
      <c r="B44" s="1060"/>
      <c r="C44" s="1054" t="s">
        <v>444</v>
      </c>
      <c r="D44" s="1063">
        <v>0</v>
      </c>
      <c r="E44" s="1064"/>
      <c r="F44" s="1063">
        <v>0</v>
      </c>
      <c r="G44" s="1063">
        <v>1185</v>
      </c>
      <c r="H44" s="1063">
        <v>4610</v>
      </c>
      <c r="I44" s="1063">
        <v>0</v>
      </c>
      <c r="J44" s="1063">
        <v>0</v>
      </c>
      <c r="K44" s="1129"/>
      <c r="L44" s="1132"/>
      <c r="M44" s="1132"/>
      <c r="N44" s="1132"/>
      <c r="O44" s="1132"/>
      <c r="P44" s="1133"/>
    </row>
    <row r="45" ht="16.35" customHeight="1" spans="2:16">
      <c r="B45" s="1065"/>
      <c r="C45" s="1054" t="s">
        <v>1276</v>
      </c>
      <c r="D45" s="1063"/>
      <c r="E45" s="1064"/>
      <c r="F45" s="1054"/>
      <c r="G45" s="1054"/>
      <c r="H45" s="1054"/>
      <c r="I45" s="1054"/>
      <c r="J45" s="1054"/>
      <c r="K45" s="1129"/>
      <c r="L45" s="1132"/>
      <c r="M45" s="1132"/>
      <c r="N45" s="1132"/>
      <c r="O45" s="1132"/>
      <c r="P45" s="1133"/>
    </row>
    <row r="46" ht="16.35" customHeight="1" spans="2:16">
      <c r="B46" s="1065"/>
      <c r="C46" s="1054" t="s">
        <v>1277</v>
      </c>
      <c r="D46" s="1063"/>
      <c r="E46" s="1064"/>
      <c r="F46" s="1054"/>
      <c r="G46" s="1054"/>
      <c r="H46" s="1054"/>
      <c r="I46" s="1054"/>
      <c r="J46" s="1054"/>
      <c r="K46" s="1129"/>
      <c r="L46" s="1132"/>
      <c r="M46" s="1132"/>
      <c r="N46" s="1132"/>
      <c r="O46" s="1132"/>
      <c r="P46" s="1133"/>
    </row>
    <row r="47" ht="14.25" customHeight="1" spans="2:16">
      <c r="B47" s="1066"/>
      <c r="C47" s="1067"/>
      <c r="D47" s="1044"/>
      <c r="E47" s="1044" t="s">
        <v>1278</v>
      </c>
      <c r="F47" s="1044"/>
      <c r="G47" s="1068"/>
      <c r="H47" s="1044" t="s">
        <v>505</v>
      </c>
      <c r="I47" s="1044" t="s">
        <v>399</v>
      </c>
      <c r="J47" s="1044" t="s">
        <v>1249</v>
      </c>
      <c r="K47" s="1129"/>
      <c r="L47" s="1130"/>
      <c r="M47" s="1130"/>
      <c r="N47" s="1130"/>
      <c r="O47" s="1130"/>
      <c r="P47" s="1131"/>
    </row>
    <row r="48" ht="16.35" customHeight="1" spans="2:16">
      <c r="B48" s="1060" t="s">
        <v>527</v>
      </c>
      <c r="C48" s="1046" t="s">
        <v>801</v>
      </c>
      <c r="D48" s="1069"/>
      <c r="E48" s="1047">
        <v>643.637613237812</v>
      </c>
      <c r="F48" s="1047"/>
      <c r="G48" s="1070"/>
      <c r="H48" s="1047">
        <v>21883.6788500856</v>
      </c>
      <c r="I48" s="1047"/>
      <c r="J48" s="1047"/>
      <c r="K48" s="1129"/>
      <c r="L48" s="1134" t="s">
        <v>1279</v>
      </c>
      <c r="M48" s="1134"/>
      <c r="N48" s="1134"/>
      <c r="O48" s="1134"/>
      <c r="P48" s="1135"/>
    </row>
    <row r="49" ht="16.35" customHeight="1" outlineLevel="1" spans="2:18">
      <c r="B49" s="1060"/>
      <c r="C49" s="1071" t="s">
        <v>1280</v>
      </c>
      <c r="D49" s="1069"/>
      <c r="E49" s="1047">
        <v>643.637613237812</v>
      </c>
      <c r="F49" s="1047">
        <v>34</v>
      </c>
      <c r="G49" s="1070"/>
      <c r="H49" s="1047">
        <v>21883.6788500856</v>
      </c>
      <c r="I49" s="1020"/>
      <c r="J49" s="1020"/>
      <c r="K49" s="1129"/>
      <c r="L49" s="1130" t="s">
        <v>1281</v>
      </c>
      <c r="M49" s="1130"/>
      <c r="N49" s="1130"/>
      <c r="O49" s="1130"/>
      <c r="P49" s="1131"/>
      <c r="R49" s="1012">
        <v>21883.6920362361</v>
      </c>
    </row>
    <row r="50" ht="16.35" customHeight="1" outlineLevel="1" spans="2:16">
      <c r="B50" s="1060"/>
      <c r="C50" s="1071" t="s">
        <v>1282</v>
      </c>
      <c r="D50" s="1069"/>
      <c r="E50" s="1047"/>
      <c r="F50" s="1047"/>
      <c r="G50" s="1070"/>
      <c r="H50" s="1047"/>
      <c r="I50" s="1020"/>
      <c r="J50" s="1020"/>
      <c r="K50" s="1129"/>
      <c r="L50" s="1130" t="s">
        <v>1274</v>
      </c>
      <c r="M50" s="1130"/>
      <c r="N50" s="1130"/>
      <c r="O50" s="1130"/>
      <c r="P50" s="1131"/>
    </row>
    <row r="51" ht="16.35" customHeight="1" spans="2:16">
      <c r="B51" s="1060"/>
      <c r="C51" s="1046" t="s">
        <v>202</v>
      </c>
      <c r="D51" s="1069"/>
      <c r="E51" s="1020">
        <v>1153.48238676219</v>
      </c>
      <c r="F51" s="1020"/>
      <c r="G51" s="1048"/>
      <c r="H51" s="1020">
        <v>43662.4716028656</v>
      </c>
      <c r="I51" s="1020">
        <v>34604.4716028656</v>
      </c>
      <c r="J51" s="1020">
        <v>0</v>
      </c>
      <c r="K51" s="1129"/>
      <c r="L51" s="1134" t="s">
        <v>1279</v>
      </c>
      <c r="M51" s="1134"/>
      <c r="N51" s="1134"/>
      <c r="O51" s="1134"/>
      <c r="P51" s="1135"/>
    </row>
    <row r="52" ht="16.35" customHeight="1" outlineLevel="1" spans="2:17">
      <c r="B52" s="1060"/>
      <c r="C52" s="1071" t="s">
        <v>1282</v>
      </c>
      <c r="D52" s="1069"/>
      <c r="E52" s="1020">
        <v>1153.48238676219</v>
      </c>
      <c r="F52" s="1047">
        <v>30</v>
      </c>
      <c r="G52" s="1047"/>
      <c r="H52" s="1047">
        <v>34604.4716028656</v>
      </c>
      <c r="I52" s="1020">
        <v>34604.4716028656</v>
      </c>
      <c r="J52" s="1020"/>
      <c r="K52" s="1129"/>
      <c r="L52" s="1130" t="s">
        <v>1274</v>
      </c>
      <c r="M52" s="1130"/>
      <c r="N52" s="1130"/>
      <c r="O52" s="1130"/>
      <c r="P52" s="1131"/>
      <c r="Q52" s="907"/>
    </row>
    <row r="53" ht="16.35" customHeight="1" outlineLevel="1" spans="2:17">
      <c r="B53" s="1060"/>
      <c r="C53" s="1071" t="s">
        <v>1283</v>
      </c>
      <c r="D53" s="1069"/>
      <c r="E53" s="1020"/>
      <c r="F53" s="1020"/>
      <c r="G53" s="1020"/>
      <c r="H53" s="1020"/>
      <c r="I53" s="1020"/>
      <c r="J53" s="1020"/>
      <c r="K53" s="1129"/>
      <c r="L53" s="1130"/>
      <c r="M53" s="1130"/>
      <c r="N53" s="1130"/>
      <c r="O53" s="1130"/>
      <c r="P53" s="1131"/>
      <c r="Q53" s="907"/>
    </row>
    <row r="54" ht="16.35" customHeight="1" outlineLevel="1" spans="2:17">
      <c r="B54" s="1060"/>
      <c r="C54" s="1071" t="s">
        <v>1284</v>
      </c>
      <c r="D54" s="1069"/>
      <c r="E54" s="1020"/>
      <c r="F54" s="1020"/>
      <c r="G54" s="1020"/>
      <c r="H54" s="1020"/>
      <c r="I54" s="1020"/>
      <c r="J54" s="1020"/>
      <c r="K54" s="1129"/>
      <c r="L54" s="1130"/>
      <c r="M54" s="1130"/>
      <c r="N54" s="1130"/>
      <c r="O54" s="1130"/>
      <c r="P54" s="1131"/>
      <c r="Q54" s="907"/>
    </row>
    <row r="55" ht="16.35" customHeight="1" outlineLevel="1" spans="2:17">
      <c r="B55" s="1060"/>
      <c r="C55" s="1071" t="s">
        <v>1285</v>
      </c>
      <c r="D55" s="1069"/>
      <c r="E55" s="1020"/>
      <c r="F55" s="1020"/>
      <c r="G55" s="1048"/>
      <c r="H55" s="1051">
        <v>9058</v>
      </c>
      <c r="I55" s="1020"/>
      <c r="J55" s="1020"/>
      <c r="K55" s="1129"/>
      <c r="L55" s="1130" t="s">
        <v>1281</v>
      </c>
      <c r="M55" s="1130"/>
      <c r="N55" s="1130"/>
      <c r="O55" s="1130"/>
      <c r="P55" s="1131"/>
      <c r="Q55" s="907"/>
    </row>
    <row r="56" ht="16.35" customHeight="1" spans="2:17">
      <c r="B56" s="1060"/>
      <c r="C56" s="1046" t="s">
        <v>1286</v>
      </c>
      <c r="D56" s="1069"/>
      <c r="E56" s="1020">
        <v>199.68</v>
      </c>
      <c r="F56" s="1048"/>
      <c r="G56" s="1048"/>
      <c r="H56" s="1072"/>
      <c r="I56" s="1136"/>
      <c r="J56" s="1136"/>
      <c r="K56" s="1129"/>
      <c r="L56" s="1130" t="s">
        <v>1268</v>
      </c>
      <c r="M56" s="1130"/>
      <c r="N56" s="1130"/>
      <c r="O56" s="1130"/>
      <c r="P56" s="1131"/>
      <c r="Q56" s="907"/>
    </row>
    <row r="57" ht="16.35" customHeight="1" spans="2:16">
      <c r="B57" s="1060"/>
      <c r="C57" s="1054" t="s">
        <v>444</v>
      </c>
      <c r="D57" s="1054"/>
      <c r="E57" s="1054">
        <v>1996.8</v>
      </c>
      <c r="F57" s="1064"/>
      <c r="G57" s="1064">
        <v>0</v>
      </c>
      <c r="H57" s="1054">
        <v>65546.1504529512</v>
      </c>
      <c r="I57" s="1054">
        <v>34604.4716028656</v>
      </c>
      <c r="J57" s="1054">
        <v>0</v>
      </c>
      <c r="K57" s="1127">
        <v>0.145400316947736</v>
      </c>
      <c r="L57" s="1132"/>
      <c r="M57" s="1132"/>
      <c r="N57" s="1132"/>
      <c r="O57" s="1132"/>
      <c r="P57" s="1133"/>
    </row>
    <row r="58" ht="16.35" customHeight="1" spans="2:16">
      <c r="B58" s="1073" t="s">
        <v>2</v>
      </c>
      <c r="C58" s="1074"/>
      <c r="D58" s="1075">
        <v>65262.6</v>
      </c>
      <c r="E58" s="1076"/>
      <c r="F58" s="1075">
        <v>19</v>
      </c>
      <c r="G58" s="1075">
        <v>9935</v>
      </c>
      <c r="H58" s="1075">
        <v>273546.150452951</v>
      </c>
      <c r="I58" s="1137">
        <v>237994.471602866</v>
      </c>
      <c r="J58" s="1137">
        <v>0</v>
      </c>
      <c r="K58" s="1138">
        <v>1.14540031694774</v>
      </c>
      <c r="L58" s="1139"/>
      <c r="M58" s="1139"/>
      <c r="N58" s="1139"/>
      <c r="O58" s="1139"/>
      <c r="P58" s="1140"/>
    </row>
    <row r="59" spans="9:13">
      <c r="I59" s="1141"/>
      <c r="L59" s="1142"/>
      <c r="M59" s="1142"/>
    </row>
    <row r="60" spans="8:8">
      <c r="H60" s="1077"/>
    </row>
    <row r="61" spans="4:9">
      <c r="D61" s="1078" t="s">
        <v>1287</v>
      </c>
      <c r="E61" s="1078"/>
      <c r="I61" s="1012">
        <v>30</v>
      </c>
    </row>
    <row r="62" ht="22.5" spans="4:5">
      <c r="D62" s="1079" t="s">
        <v>1288</v>
      </c>
      <c r="E62" s="1080">
        <v>1153.48238676219</v>
      </c>
    </row>
    <row r="63" ht="22.5" spans="4:5">
      <c r="D63" s="1079" t="s">
        <v>1289</v>
      </c>
      <c r="E63" s="1080">
        <v>0</v>
      </c>
    </row>
    <row r="64" ht="22.5" spans="4:5">
      <c r="D64" s="1079" t="s">
        <v>1290</v>
      </c>
      <c r="E64" s="1081">
        <v>8</v>
      </c>
    </row>
    <row r="65" ht="22.5" spans="4:5">
      <c r="D65" s="1079" t="s">
        <v>1291</v>
      </c>
      <c r="E65" s="1081">
        <v>0</v>
      </c>
    </row>
    <row r="66" spans="4:6">
      <c r="D66" s="1078" t="s">
        <v>1292</v>
      </c>
      <c r="E66" s="1161">
        <v>5690.88</v>
      </c>
      <c r="F66" s="1012">
        <v>5235.36</v>
      </c>
    </row>
  </sheetData>
  <mergeCells count="66">
    <mergeCell ref="B1:O1"/>
    <mergeCell ref="B2:C2"/>
    <mergeCell ref="D2:E2"/>
    <mergeCell ref="G2:H2"/>
    <mergeCell ref="I2:J2"/>
    <mergeCell ref="M2:N2"/>
    <mergeCell ref="B3:C3"/>
    <mergeCell ref="D3:E3"/>
    <mergeCell ref="G3:H3"/>
    <mergeCell ref="I3:K3"/>
    <mergeCell ref="M3:O3"/>
    <mergeCell ref="B4:C4"/>
    <mergeCell ref="D4:E4"/>
    <mergeCell ref="G4:H4"/>
    <mergeCell ref="I4:K4"/>
    <mergeCell ref="M4:N4"/>
    <mergeCell ref="B5:C5"/>
    <mergeCell ref="D5:E5"/>
    <mergeCell ref="F5:H5"/>
    <mergeCell ref="I5:J5"/>
    <mergeCell ref="K5:L5"/>
    <mergeCell ref="M5:O5"/>
    <mergeCell ref="B6:C6"/>
    <mergeCell ref="D6:E6"/>
    <mergeCell ref="F6:H6"/>
    <mergeCell ref="I6:J6"/>
    <mergeCell ref="K6:L6"/>
    <mergeCell ref="M6:O6"/>
    <mergeCell ref="B7:C7"/>
    <mergeCell ref="E7:F7"/>
    <mergeCell ref="K7:L7"/>
    <mergeCell ref="M7:N7"/>
    <mergeCell ref="Q7:S7"/>
    <mergeCell ref="B8:C8"/>
    <mergeCell ref="E8:F8"/>
    <mergeCell ref="K8:L8"/>
    <mergeCell ref="M8:O8"/>
    <mergeCell ref="B18:O18"/>
    <mergeCell ref="B19:C19"/>
    <mergeCell ref="L35:P35"/>
    <mergeCell ref="L36:P36"/>
    <mergeCell ref="L37:P37"/>
    <mergeCell ref="L38:P38"/>
    <mergeCell ref="L39:P39"/>
    <mergeCell ref="L40:P40"/>
    <mergeCell ref="L41:P41"/>
    <mergeCell ref="L42:P42"/>
    <mergeCell ref="L43:P43"/>
    <mergeCell ref="L44:P44"/>
    <mergeCell ref="B47:C47"/>
    <mergeCell ref="L47:P47"/>
    <mergeCell ref="L48:P48"/>
    <mergeCell ref="L49:P49"/>
    <mergeCell ref="L50:P50"/>
    <mergeCell ref="L51:P51"/>
    <mergeCell ref="L52:P52"/>
    <mergeCell ref="L55:P55"/>
    <mergeCell ref="L56:P56"/>
    <mergeCell ref="L57:P57"/>
    <mergeCell ref="B58:C58"/>
    <mergeCell ref="L58:P58"/>
    <mergeCell ref="B20:B26"/>
    <mergeCell ref="B27:B34"/>
    <mergeCell ref="B35:B44"/>
    <mergeCell ref="B48:B57"/>
    <mergeCell ref="K35:K56"/>
  </mergeCells>
  <printOptions horizontalCentered="1"/>
  <pageMargins left="0.747916666666667" right="0.747916666666667" top="0.786805555555556" bottom="0.196527777777778" header="0.314583333333333" footer="0.314583333333333"/>
  <pageSetup paperSize="9" orientation="landscape" horizontalDpi="300" verticalDpi="300"/>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C1:P44"/>
  <sheetViews>
    <sheetView showGridLines="0" zoomScale="85" zoomScaleNormal="85" topLeftCell="B1" workbookViewId="0">
      <selection activeCell="B1" sqref="$A1:$XFD1048576"/>
    </sheetView>
  </sheetViews>
  <sheetFormatPr defaultColWidth="9" defaultRowHeight="11.25"/>
  <cols>
    <col min="1" max="1" width="1.5" style="908" customWidth="1"/>
    <col min="2" max="2" width="6.6" style="908" customWidth="1"/>
    <col min="3" max="3" width="5.1" style="909" customWidth="1"/>
    <col min="4" max="4" width="35.6" style="909" customWidth="1"/>
    <col min="5" max="5" width="14.4" style="909" customWidth="1"/>
    <col min="6" max="6" width="10" style="909" customWidth="1"/>
    <col min="7" max="7" width="10.1" style="909" customWidth="1"/>
    <col min="8" max="8" width="8.5" style="909" customWidth="1"/>
    <col min="9" max="9" width="12.4" style="909" customWidth="1"/>
    <col min="10" max="11" width="8.6" style="909" customWidth="1"/>
    <col min="12" max="12" width="11.9" style="909" customWidth="1"/>
    <col min="13" max="13" width="12.9" style="909" customWidth="1"/>
    <col min="14" max="14" width="11.1" style="909" customWidth="1"/>
    <col min="15" max="15" width="10.6" style="909" customWidth="1"/>
    <col min="16" max="16384" width="9" style="909"/>
  </cols>
  <sheetData>
    <row r="1" ht="19.5" customHeight="1" spans="3:15">
      <c r="C1" s="910" t="s">
        <v>1293</v>
      </c>
      <c r="D1" s="910"/>
      <c r="E1" s="910"/>
      <c r="F1" s="910"/>
      <c r="G1" s="910"/>
      <c r="H1" s="910"/>
      <c r="I1" s="910"/>
      <c r="J1" s="910"/>
      <c r="K1" s="910"/>
      <c r="L1" s="910"/>
      <c r="M1" s="910"/>
      <c r="N1" s="910"/>
      <c r="O1" s="910"/>
    </row>
    <row r="2" ht="30" customHeight="1" spans="3:15">
      <c r="C2" s="911" t="s">
        <v>21</v>
      </c>
      <c r="D2" s="191" t="s">
        <v>494</v>
      </c>
      <c r="E2" s="912" t="s">
        <v>1294</v>
      </c>
      <c r="F2" s="913" t="s">
        <v>606</v>
      </c>
      <c r="G2" s="914" t="s">
        <v>1295</v>
      </c>
      <c r="H2" s="101" t="s">
        <v>1296</v>
      </c>
      <c r="I2" s="1820" t="s">
        <v>1297</v>
      </c>
      <c r="J2" s="1820" t="s">
        <v>610</v>
      </c>
      <c r="K2" s="1820" t="s">
        <v>611</v>
      </c>
      <c r="L2" s="1820" t="s">
        <v>1298</v>
      </c>
      <c r="M2" s="1821" t="s">
        <v>613</v>
      </c>
      <c r="N2" s="101" t="s">
        <v>1299</v>
      </c>
      <c r="O2" s="913" t="s">
        <v>1300</v>
      </c>
    </row>
    <row r="3" ht="12" spans="3:15">
      <c r="C3" s="915" t="s">
        <v>510</v>
      </c>
      <c r="D3" s="916" t="s">
        <v>489</v>
      </c>
      <c r="E3" s="917"/>
      <c r="F3" s="918"/>
      <c r="G3" s="919"/>
      <c r="H3" s="920"/>
      <c r="I3" s="973"/>
      <c r="J3" s="973"/>
      <c r="K3" s="973"/>
      <c r="L3" s="973"/>
      <c r="M3" s="974"/>
      <c r="N3" s="975"/>
      <c r="O3" s="976"/>
    </row>
    <row r="4" spans="3:15">
      <c r="C4" s="921">
        <v>1</v>
      </c>
      <c r="D4" s="922" t="s">
        <v>1301</v>
      </c>
      <c r="E4" s="923"/>
      <c r="F4" s="924"/>
      <c r="G4" s="762"/>
      <c r="H4" s="762"/>
      <c r="I4" s="769"/>
      <c r="J4" s="769"/>
      <c r="K4" s="769"/>
      <c r="L4" s="645">
        <v>39994.3349235007</v>
      </c>
      <c r="M4" s="645">
        <v>4247.0764993565</v>
      </c>
      <c r="N4" s="645">
        <v>44241.4114228572</v>
      </c>
      <c r="O4" s="977"/>
    </row>
    <row r="5" spans="3:15">
      <c r="C5" s="925" t="s">
        <v>619</v>
      </c>
      <c r="D5" s="926" t="s">
        <v>513</v>
      </c>
      <c r="E5" s="927"/>
      <c r="F5" s="928"/>
      <c r="G5" s="929"/>
      <c r="H5" s="930"/>
      <c r="I5" s="930"/>
      <c r="J5" s="930"/>
      <c r="K5" s="978"/>
      <c r="L5" s="979">
        <v>39434.8754640412</v>
      </c>
      <c r="M5" s="979">
        <v>4185.53595881596</v>
      </c>
      <c r="N5" s="979">
        <v>43620.4114228572</v>
      </c>
      <c r="O5" s="980"/>
    </row>
    <row r="6" spans="3:15">
      <c r="C6" s="931" t="s">
        <v>622</v>
      </c>
      <c r="D6" s="932" t="s">
        <v>334</v>
      </c>
      <c r="E6" s="927" t="s">
        <v>1302</v>
      </c>
      <c r="F6" s="933"/>
      <c r="G6" s="927"/>
      <c r="H6" s="934" t="s">
        <v>655</v>
      </c>
      <c r="I6" s="933">
        <v>208000</v>
      </c>
      <c r="J6" s="981">
        <v>1829.34263934264</v>
      </c>
      <c r="K6" s="978">
        <v>0.11</v>
      </c>
      <c r="L6" s="981">
        <v>38050.3268983269</v>
      </c>
      <c r="M6" s="981">
        <v>4185.53595881596</v>
      </c>
      <c r="N6" s="982">
        <v>42235.8628571429</v>
      </c>
      <c r="O6" s="927"/>
    </row>
    <row r="7" s="907" customFormat="1" spans="3:16">
      <c r="C7" s="935"/>
      <c r="D7" s="936" t="s">
        <v>1303</v>
      </c>
      <c r="E7" s="309" t="s">
        <v>1304</v>
      </c>
      <c r="F7" s="650"/>
      <c r="G7" s="309"/>
      <c r="H7" s="375"/>
      <c r="I7" s="650"/>
      <c r="J7" s="144"/>
      <c r="K7" s="497">
        <v>0</v>
      </c>
      <c r="L7" s="144">
        <v>0</v>
      </c>
      <c r="M7" s="144">
        <v>0</v>
      </c>
      <c r="N7" s="650">
        <v>0</v>
      </c>
      <c r="O7" s="309"/>
      <c r="P7" s="907" t="s">
        <v>1305</v>
      </c>
    </row>
    <row r="8" spans="3:15">
      <c r="C8" s="931" t="s">
        <v>622</v>
      </c>
      <c r="D8" s="1822" t="s">
        <v>335</v>
      </c>
      <c r="E8" s="927" t="s">
        <v>1302</v>
      </c>
      <c r="F8" s="937"/>
      <c r="G8" s="938">
        <v>0.03</v>
      </c>
      <c r="H8" s="933"/>
      <c r="I8" s="983">
        <v>42235.8628571429</v>
      </c>
      <c r="J8" s="983"/>
      <c r="K8" s="978" t="s">
        <v>1306</v>
      </c>
      <c r="L8" s="983">
        <v>1267.07588571429</v>
      </c>
      <c r="M8" s="983"/>
      <c r="N8" s="933">
        <v>1267.07588571429</v>
      </c>
      <c r="O8" s="984"/>
    </row>
    <row r="9" spans="3:15">
      <c r="C9" s="931" t="s">
        <v>622</v>
      </c>
      <c r="D9" s="926" t="s">
        <v>1307</v>
      </c>
      <c r="E9" s="927" t="s">
        <v>1307</v>
      </c>
      <c r="F9" s="928"/>
      <c r="G9" s="930">
        <v>3</v>
      </c>
      <c r="H9" s="930"/>
      <c r="I9" s="985">
        <v>65262.6</v>
      </c>
      <c r="J9" s="930">
        <v>6</v>
      </c>
      <c r="K9" s="978">
        <v>0</v>
      </c>
      <c r="L9" s="981">
        <v>117.47268</v>
      </c>
      <c r="M9" s="981">
        <v>0</v>
      </c>
      <c r="N9" s="933">
        <v>117.47268</v>
      </c>
      <c r="O9" s="980"/>
    </row>
    <row r="10" spans="3:15">
      <c r="C10" s="925" t="s">
        <v>1021</v>
      </c>
      <c r="D10" s="926" t="s">
        <v>1308</v>
      </c>
      <c r="E10" s="927"/>
      <c r="F10" s="928"/>
      <c r="G10" s="929"/>
      <c r="H10" s="930"/>
      <c r="I10" s="930"/>
      <c r="J10" s="930"/>
      <c r="K10" s="978"/>
      <c r="L10" s="979">
        <v>559.459459459459</v>
      </c>
      <c r="M10" s="979">
        <v>61.5405405405405</v>
      </c>
      <c r="N10" s="979">
        <v>621</v>
      </c>
      <c r="O10" s="980"/>
    </row>
    <row r="11" spans="3:15">
      <c r="C11" s="931" t="s">
        <v>622</v>
      </c>
      <c r="D11" s="939" t="s">
        <v>1309</v>
      </c>
      <c r="E11" s="236" t="s">
        <v>1309</v>
      </c>
      <c r="F11" s="940"/>
      <c r="G11" s="941">
        <v>1</v>
      </c>
      <c r="H11" s="942" t="s">
        <v>655</v>
      </c>
      <c r="I11" s="941">
        <v>10000</v>
      </c>
      <c r="J11" s="986">
        <v>450.45045045045</v>
      </c>
      <c r="K11" s="987">
        <v>0.11</v>
      </c>
      <c r="L11" s="986">
        <v>450.45045045045</v>
      </c>
      <c r="M11" s="986">
        <v>49.5495495495496</v>
      </c>
      <c r="N11" s="555">
        <v>500</v>
      </c>
      <c r="O11" s="98"/>
    </row>
    <row r="12" spans="3:15">
      <c r="C12" s="931" t="s">
        <v>622</v>
      </c>
      <c r="D12" s="943" t="s">
        <v>1310</v>
      </c>
      <c r="E12" s="236" t="s">
        <v>1311</v>
      </c>
      <c r="F12" s="940"/>
      <c r="G12" s="941">
        <v>1</v>
      </c>
      <c r="H12" s="942" t="s">
        <v>655</v>
      </c>
      <c r="I12" s="988">
        <v>121</v>
      </c>
      <c r="J12" s="989">
        <v>9009.00900900901</v>
      </c>
      <c r="K12" s="987">
        <v>0.11</v>
      </c>
      <c r="L12" s="986">
        <v>109.009009009009</v>
      </c>
      <c r="M12" s="986">
        <v>11.990990990991</v>
      </c>
      <c r="N12" s="555">
        <v>121</v>
      </c>
      <c r="O12" s="990"/>
    </row>
    <row r="13" spans="3:15">
      <c r="C13" s="925" t="s">
        <v>1032</v>
      </c>
      <c r="D13" s="926" t="s">
        <v>1312</v>
      </c>
      <c r="E13" s="927" t="s">
        <v>1313</v>
      </c>
      <c r="F13" s="937"/>
      <c r="G13" s="927"/>
      <c r="H13" s="934"/>
      <c r="I13" s="927"/>
      <c r="J13" s="927"/>
      <c r="K13" s="978">
        <v>0.11</v>
      </c>
      <c r="L13" s="927"/>
      <c r="M13" s="991"/>
      <c r="N13" s="933"/>
      <c r="O13" s="984"/>
    </row>
    <row r="14" spans="3:15">
      <c r="C14" s="944"/>
      <c r="D14" s="945" t="s">
        <v>1314</v>
      </c>
      <c r="E14" s="469"/>
      <c r="F14" s="946"/>
      <c r="G14" s="947"/>
      <c r="H14" s="947" t="s">
        <v>655</v>
      </c>
      <c r="I14" s="992">
        <v>203390</v>
      </c>
      <c r="J14" s="992"/>
      <c r="K14" s="992"/>
      <c r="L14" s="992">
        <v>1966.38649508337</v>
      </c>
      <c r="M14" s="992">
        <v>208.814420539678</v>
      </c>
      <c r="N14" s="993">
        <v>44241.4114228572</v>
      </c>
      <c r="O14" s="994"/>
    </row>
    <row r="15" spans="3:15">
      <c r="C15" s="223" t="s">
        <v>1078</v>
      </c>
      <c r="D15" s="314" t="s">
        <v>1315</v>
      </c>
      <c r="E15" s="236"/>
      <c r="F15" s="948" t="s">
        <v>1316</v>
      </c>
      <c r="G15" s="236"/>
      <c r="H15" s="95"/>
      <c r="I15" s="40">
        <v>203390</v>
      </c>
      <c r="J15" s="40"/>
      <c r="K15" s="40"/>
      <c r="L15" s="40">
        <v>39994.3349235007</v>
      </c>
      <c r="M15" s="40">
        <v>4247.0764993565</v>
      </c>
      <c r="N15" s="995">
        <v>44241.4114228572</v>
      </c>
      <c r="O15" s="98"/>
    </row>
    <row r="16" spans="3:15">
      <c r="C16" s="223" t="s">
        <v>1021</v>
      </c>
      <c r="D16" s="314" t="s">
        <v>1317</v>
      </c>
      <c r="E16" s="236"/>
      <c r="F16" s="948" t="s">
        <v>1318</v>
      </c>
      <c r="G16" s="236"/>
      <c r="H16" s="95"/>
      <c r="I16" s="40">
        <v>0</v>
      </c>
      <c r="J16" s="40"/>
      <c r="K16" s="40"/>
      <c r="L16" s="40"/>
      <c r="M16" s="239"/>
      <c r="N16" s="995">
        <v>0</v>
      </c>
      <c r="O16" s="98"/>
    </row>
    <row r="17" ht="12" spans="3:15">
      <c r="C17" s="225"/>
      <c r="D17" s="949" t="s">
        <v>1319</v>
      </c>
      <c r="E17" s="258"/>
      <c r="F17" s="950" t="s">
        <v>1318</v>
      </c>
      <c r="G17" s="258"/>
      <c r="H17" s="257"/>
      <c r="I17" s="996">
        <v>0</v>
      </c>
      <c r="J17" s="996"/>
      <c r="K17" s="996"/>
      <c r="L17" s="996">
        <v>0</v>
      </c>
      <c r="M17" s="996">
        <v>0</v>
      </c>
      <c r="N17" s="997"/>
      <c r="O17" s="274"/>
    </row>
    <row r="18" spans="4:14">
      <c r="D18" s="951"/>
      <c r="E18" s="951"/>
      <c r="F18" s="952"/>
      <c r="G18" s="952"/>
      <c r="H18" s="952"/>
      <c r="I18" s="952"/>
      <c r="J18" s="952"/>
      <c r="K18" s="952"/>
      <c r="L18" s="952"/>
      <c r="M18" s="952"/>
      <c r="N18" s="952"/>
    </row>
    <row r="19" spans="3:15">
      <c r="C19" s="953"/>
      <c r="D19" s="953"/>
      <c r="E19" s="953"/>
      <c r="F19" s="953"/>
      <c r="G19" s="953"/>
      <c r="H19" s="953"/>
      <c r="I19" s="953"/>
      <c r="J19" s="953"/>
      <c r="K19" s="953"/>
      <c r="L19" s="953"/>
      <c r="M19" s="953"/>
      <c r="N19" s="953"/>
      <c r="O19" s="953"/>
    </row>
    <row r="20" spans="3:15">
      <c r="C20" s="954"/>
      <c r="D20" s="954"/>
      <c r="E20" s="954"/>
      <c r="F20" s="954"/>
      <c r="G20" s="954"/>
      <c r="H20" s="954"/>
      <c r="I20" s="954"/>
      <c r="J20" s="954"/>
      <c r="K20" s="954"/>
      <c r="L20" s="954"/>
      <c r="M20" s="954"/>
      <c r="N20" s="954"/>
      <c r="O20" s="998"/>
    </row>
    <row r="21" ht="15" customHeight="1" spans="3:14">
      <c r="C21" s="908"/>
      <c r="D21" s="955" t="s">
        <v>1320</v>
      </c>
      <c r="E21" s="955"/>
      <c r="F21" s="955"/>
      <c r="G21" s="955"/>
      <c r="H21" s="955"/>
      <c r="N21" s="999">
        <v>617.47268</v>
      </c>
    </row>
    <row r="22" ht="25.5" customHeight="1" spans="3:8">
      <c r="C22" s="908"/>
      <c r="D22" s="956" t="s">
        <v>1321</v>
      </c>
      <c r="E22" s="957" t="s">
        <v>1322</v>
      </c>
      <c r="F22" s="957" t="s">
        <v>173</v>
      </c>
      <c r="G22" s="957" t="s">
        <v>1323</v>
      </c>
      <c r="H22" s="952"/>
    </row>
    <row r="23" ht="17.25" customHeight="1" spans="3:7">
      <c r="C23" s="908"/>
      <c r="D23" s="958" t="s">
        <v>195</v>
      </c>
      <c r="E23" s="959">
        <v>187200</v>
      </c>
      <c r="F23" s="959">
        <v>3.36281786892196</v>
      </c>
      <c r="G23" s="960">
        <v>55667.6</v>
      </c>
    </row>
    <row r="24" ht="17.25" customHeight="1" spans="3:9">
      <c r="C24" s="908"/>
      <c r="D24" s="958" t="s">
        <v>63</v>
      </c>
      <c r="E24" s="959">
        <v>13190</v>
      </c>
      <c r="F24" s="959">
        <v>2</v>
      </c>
      <c r="G24" s="960">
        <v>6595</v>
      </c>
      <c r="H24" s="909">
        <v>7600</v>
      </c>
      <c r="I24" s="909">
        <v>1.73552631578947</v>
      </c>
    </row>
    <row r="25" ht="17.25" customHeight="1" spans="3:7">
      <c r="C25" s="908"/>
      <c r="D25" s="958" t="s">
        <v>245</v>
      </c>
      <c r="E25" s="959">
        <v>0</v>
      </c>
      <c r="F25" s="959">
        <v>1.3</v>
      </c>
      <c r="G25" s="960">
        <v>0</v>
      </c>
    </row>
    <row r="26" ht="15" customHeight="1" spans="3:7">
      <c r="C26" s="908"/>
      <c r="D26" s="958" t="s">
        <v>199</v>
      </c>
      <c r="E26" s="959">
        <v>3000</v>
      </c>
      <c r="F26" s="959">
        <v>1</v>
      </c>
      <c r="G26" s="960">
        <v>3000</v>
      </c>
    </row>
    <row r="27" ht="15" customHeight="1" spans="3:7">
      <c r="C27" s="908"/>
      <c r="D27" s="961" t="s">
        <v>1324</v>
      </c>
      <c r="E27" s="962">
        <v>203390</v>
      </c>
      <c r="F27" s="963">
        <v>3.11648631835079</v>
      </c>
      <c r="G27" s="964">
        <v>65262.6</v>
      </c>
    </row>
    <row r="28" spans="3:15">
      <c r="C28" s="954"/>
      <c r="D28" s="954"/>
      <c r="E28" s="954"/>
      <c r="F28" s="954"/>
      <c r="G28" s="954"/>
      <c r="H28" s="954"/>
      <c r="O28" s="998"/>
    </row>
    <row r="29" ht="19.5" customHeight="1" spans="3:14">
      <c r="C29" s="908"/>
      <c r="D29" s="965" t="s">
        <v>1325</v>
      </c>
      <c r="E29" s="965"/>
      <c r="F29" s="965"/>
      <c r="G29" s="965"/>
      <c r="H29" s="965"/>
      <c r="I29" s="965"/>
      <c r="J29" s="965"/>
      <c r="K29" s="955"/>
      <c r="L29" s="955"/>
      <c r="M29" s="955"/>
      <c r="N29" s="1000"/>
    </row>
    <row r="30" ht="22.5" spans="3:13">
      <c r="C30" s="908"/>
      <c r="D30" s="956" t="s">
        <v>1321</v>
      </c>
      <c r="E30" s="957" t="s">
        <v>1322</v>
      </c>
      <c r="F30" s="957" t="s">
        <v>173</v>
      </c>
      <c r="G30" s="957" t="s">
        <v>1326</v>
      </c>
      <c r="H30" s="966" t="s">
        <v>1327</v>
      </c>
      <c r="I30" s="957" t="s">
        <v>1328</v>
      </c>
      <c r="J30" s="957" t="s">
        <v>1329</v>
      </c>
      <c r="K30" s="957" t="s">
        <v>1330</v>
      </c>
      <c r="L30" s="482"/>
      <c r="M30" s="1001"/>
    </row>
    <row r="31" ht="15" customHeight="1" spans="3:13">
      <c r="C31" s="908"/>
      <c r="D31" s="967" t="s">
        <v>195</v>
      </c>
      <c r="E31" s="959">
        <v>187200</v>
      </c>
      <c r="F31" s="968">
        <v>3.36281786892196</v>
      </c>
      <c r="G31" s="959">
        <v>55667.6</v>
      </c>
      <c r="H31" s="959">
        <v>0.612821660851708</v>
      </c>
      <c r="I31" s="1002">
        <v>35356.791714972</v>
      </c>
      <c r="J31" s="1003">
        <v>0</v>
      </c>
      <c r="K31" s="1004">
        <v>1888.71750614166</v>
      </c>
      <c r="L31" s="1005"/>
      <c r="M31" s="1001"/>
    </row>
    <row r="32" ht="15" customHeight="1" spans="3:13">
      <c r="C32" s="908"/>
      <c r="D32" s="967" t="s">
        <v>63</v>
      </c>
      <c r="E32" s="959">
        <v>13190</v>
      </c>
      <c r="F32" s="968">
        <v>2</v>
      </c>
      <c r="G32" s="959">
        <v>6595</v>
      </c>
      <c r="H32" s="959">
        <v>0.612821660851708</v>
      </c>
      <c r="I32" s="1003">
        <v>4047.62726000367</v>
      </c>
      <c r="J32" s="1003">
        <v>0</v>
      </c>
      <c r="K32" s="1004">
        <v>3068.70906747815</v>
      </c>
      <c r="L32" s="1005">
        <v>4047.62726000367</v>
      </c>
      <c r="M32" s="1005">
        <v>3068.70906747815</v>
      </c>
    </row>
    <row r="33" ht="15" customHeight="1" spans="3:13">
      <c r="C33" s="908"/>
      <c r="D33" s="967" t="s">
        <v>245</v>
      </c>
      <c r="E33" s="959">
        <v>0</v>
      </c>
      <c r="F33" s="968">
        <v>1.3</v>
      </c>
      <c r="G33" s="959">
        <v>0</v>
      </c>
      <c r="H33" s="959">
        <v>0.612821660851708</v>
      </c>
      <c r="I33" s="1003">
        <v>0</v>
      </c>
      <c r="J33" s="1003">
        <v>0</v>
      </c>
      <c r="K33" s="1004" t="e">
        <v>#DIV/0!</v>
      </c>
      <c r="L33" s="1005"/>
      <c r="M33" s="1001"/>
    </row>
    <row r="34" ht="15" customHeight="1" spans="3:13">
      <c r="C34" s="908"/>
      <c r="D34" s="967" t="s">
        <v>199</v>
      </c>
      <c r="E34" s="959">
        <v>3000</v>
      </c>
      <c r="F34" s="968">
        <v>1</v>
      </c>
      <c r="G34" s="959">
        <v>3000</v>
      </c>
      <c r="H34" s="969">
        <v>0.196638649508337</v>
      </c>
      <c r="I34" s="1002">
        <v>589.915948525011</v>
      </c>
      <c r="J34" s="1003">
        <v>0</v>
      </c>
      <c r="K34" s="1004">
        <v>1966.38649508337</v>
      </c>
      <c r="L34" s="1005"/>
      <c r="M34" s="1001"/>
    </row>
    <row r="35" ht="15" customHeight="1" spans="3:15">
      <c r="C35" s="908"/>
      <c r="D35" s="961" t="s">
        <v>1324</v>
      </c>
      <c r="E35" s="962">
        <v>203390</v>
      </c>
      <c r="F35" s="970"/>
      <c r="G35" s="962">
        <v>65262.6</v>
      </c>
      <c r="H35" s="962"/>
      <c r="I35" s="1006">
        <v>39994.3349235007</v>
      </c>
      <c r="J35" s="1006">
        <v>0</v>
      </c>
      <c r="K35" s="1006">
        <v>1966.38649508337</v>
      </c>
      <c r="L35" s="1007"/>
      <c r="M35" s="1001"/>
      <c r="O35" s="952"/>
    </row>
    <row r="36" spans="3:15">
      <c r="C36" s="954"/>
      <c r="D36" s="954"/>
      <c r="E36" s="954"/>
      <c r="F36" s="954"/>
      <c r="G36" s="954"/>
      <c r="H36" s="954"/>
      <c r="I36" s="954"/>
      <c r="J36" s="954"/>
      <c r="K36" s="954"/>
      <c r="L36" s="954"/>
      <c r="M36" s="954"/>
      <c r="N36" s="954"/>
      <c r="O36" s="998"/>
    </row>
    <row r="37" spans="3:15">
      <c r="C37" s="971"/>
      <c r="D37" s="971"/>
      <c r="E37" s="971"/>
      <c r="F37" s="971"/>
      <c r="G37" s="971"/>
      <c r="H37" s="971"/>
      <c r="I37" s="971"/>
      <c r="J37" s="971"/>
      <c r="K37" s="971"/>
      <c r="L37" s="971"/>
      <c r="M37" s="971"/>
      <c r="N37" s="971"/>
      <c r="O37" s="1008"/>
    </row>
    <row r="38" ht="12" spans="4:15">
      <c r="D38" s="965" t="s">
        <v>1331</v>
      </c>
      <c r="E38" s="965"/>
      <c r="F38" s="965"/>
      <c r="G38" s="965"/>
      <c r="H38" s="965"/>
      <c r="I38" s="965"/>
      <c r="J38" s="965"/>
      <c r="K38" s="955"/>
      <c r="L38" s="955"/>
      <c r="M38" s="955"/>
      <c r="O38" s="952"/>
    </row>
    <row r="39" ht="22.5" spans="4:15">
      <c r="D39" s="956" t="s">
        <v>1321</v>
      </c>
      <c r="E39" s="957" t="s">
        <v>1322</v>
      </c>
      <c r="F39" s="957" t="s">
        <v>173</v>
      </c>
      <c r="G39" s="957" t="s">
        <v>1326</v>
      </c>
      <c r="H39" s="966" t="s">
        <v>1327</v>
      </c>
      <c r="I39" s="957" t="s">
        <v>1332</v>
      </c>
      <c r="J39" s="957" t="s">
        <v>1330</v>
      </c>
      <c r="K39" s="482"/>
      <c r="L39" s="482"/>
      <c r="M39" s="1001"/>
      <c r="O39" s="952"/>
    </row>
    <row r="40" spans="4:13">
      <c r="D40" s="967" t="s">
        <v>195</v>
      </c>
      <c r="E40" s="959">
        <v>187200</v>
      </c>
      <c r="F40" s="968">
        <v>3.36281786892196</v>
      </c>
      <c r="G40" s="959">
        <v>55667.6</v>
      </c>
      <c r="H40" s="959">
        <v>0.0650767284686252</v>
      </c>
      <c r="I40" s="1002">
        <v>3754.60673299169</v>
      </c>
      <c r="J40" s="1004">
        <v>200.566598984599</v>
      </c>
      <c r="K40" s="1005"/>
      <c r="L40" s="1005"/>
      <c r="M40" s="1001"/>
    </row>
    <row r="41" spans="4:13">
      <c r="D41" s="967" t="s">
        <v>63</v>
      </c>
      <c r="E41" s="959">
        <v>13190</v>
      </c>
      <c r="F41" s="968">
        <v>2</v>
      </c>
      <c r="G41" s="959">
        <v>6595</v>
      </c>
      <c r="H41" s="959">
        <v>0.0650767284686252</v>
      </c>
      <c r="I41" s="1003">
        <v>429.825440202912</v>
      </c>
      <c r="J41" s="1004">
        <v>325.872206370668</v>
      </c>
      <c r="K41" s="1005">
        <v>429.825440202912</v>
      </c>
      <c r="L41" s="1005"/>
      <c r="M41" s="1001"/>
    </row>
    <row r="42" spans="4:13">
      <c r="D42" s="967" t="s">
        <v>245</v>
      </c>
      <c r="E42" s="959">
        <v>0</v>
      </c>
      <c r="F42" s="968">
        <v>1.3</v>
      </c>
      <c r="G42" s="959">
        <v>0</v>
      </c>
      <c r="H42" s="959">
        <v>0.0650767284686252</v>
      </c>
      <c r="I42" s="1003">
        <v>0</v>
      </c>
      <c r="J42" s="1004" t="e">
        <v>#DIV/0!</v>
      </c>
      <c r="K42" s="1005"/>
      <c r="L42" s="1005"/>
      <c r="M42" s="1001"/>
    </row>
    <row r="43" spans="4:13">
      <c r="D43" s="967" t="s">
        <v>199</v>
      </c>
      <c r="E43" s="959">
        <v>3000</v>
      </c>
      <c r="F43" s="968">
        <v>1</v>
      </c>
      <c r="G43" s="959">
        <v>3000</v>
      </c>
      <c r="H43" s="969">
        <v>0.0208814420539678</v>
      </c>
      <c r="I43" s="1002">
        <v>62.6443261619033</v>
      </c>
      <c r="J43" s="1004">
        <v>208.814420539678</v>
      </c>
      <c r="K43" s="1005"/>
      <c r="L43" s="1005"/>
      <c r="M43" s="1001"/>
    </row>
    <row r="44" ht="12" spans="4:13">
      <c r="D44" s="961" t="s">
        <v>1324</v>
      </c>
      <c r="E44" s="962">
        <v>203390</v>
      </c>
      <c r="F44" s="970"/>
      <c r="G44" s="962">
        <v>65262.6</v>
      </c>
      <c r="H44" s="962"/>
      <c r="I44" s="1006">
        <v>4247.0764993565</v>
      </c>
      <c r="J44" s="1009">
        <v>208.814420539678</v>
      </c>
      <c r="K44" s="1007"/>
      <c r="L44" s="1007"/>
      <c r="M44" s="1001"/>
    </row>
  </sheetData>
  <mergeCells count="6">
    <mergeCell ref="C1:O1"/>
    <mergeCell ref="C19:N19"/>
    <mergeCell ref="D21:H21"/>
    <mergeCell ref="D29:M29"/>
    <mergeCell ref="C37:N37"/>
    <mergeCell ref="D38:M38"/>
  </mergeCells>
  <printOptions horizontalCentered="1"/>
  <pageMargins left="0" right="0" top="0.393055555555556" bottom="0.196527777777778" header="0.118055555555556" footer="0.118055555555556"/>
  <pageSetup paperSize="9" orientation="landscape"/>
  <headerFooter alignWithMargins="0"/>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A1:L114"/>
  <sheetViews>
    <sheetView showGridLines="0" zoomScale="50" zoomScaleNormal="50" workbookViewId="0">
      <pane ySplit="2" topLeftCell="A59" activePane="bottomLeft" state="frozen"/>
      <selection/>
      <selection pane="bottomLeft" activeCell="A1" sqref="A1:L1"/>
    </sheetView>
  </sheetViews>
  <sheetFormatPr defaultColWidth="9" defaultRowHeight="12.75"/>
  <cols>
    <col min="1" max="1" width="6.5" style="847" customWidth="1"/>
    <col min="2" max="3" width="10.6" style="848" customWidth="1"/>
    <col min="4" max="4" width="26.9" style="848" customWidth="1"/>
    <col min="5" max="5" width="14.1" style="848" customWidth="1"/>
    <col min="6" max="8" width="17" style="848" customWidth="1"/>
    <col min="9" max="9" width="16" style="848" customWidth="1"/>
    <col min="10" max="10" width="16.4" style="848" customWidth="1"/>
    <col min="11" max="11" width="11.4" style="848" customWidth="1"/>
    <col min="12" max="12" width="9.6" style="848" customWidth="1"/>
    <col min="13" max="13" width="8" style="441" customWidth="1"/>
    <col min="14" max="16146" width="9" style="441"/>
    <col min="16147" max="16384" width="9" style="441" hidden="1" customWidth="1"/>
  </cols>
  <sheetData>
    <row r="1" ht="40.5" customHeight="1" spans="1:12">
      <c r="A1" s="893" t="s">
        <v>1333</v>
      </c>
      <c r="B1" s="893"/>
      <c r="C1" s="893"/>
      <c r="D1" s="893"/>
      <c r="E1" s="893"/>
      <c r="F1" s="893"/>
      <c r="G1" s="893"/>
      <c r="H1" s="893"/>
      <c r="I1" s="893"/>
      <c r="J1" s="893"/>
      <c r="K1" s="893"/>
      <c r="L1" s="893"/>
    </row>
    <row r="2" ht="39" customHeight="1" spans="1:12">
      <c r="A2" s="466" t="s">
        <v>21</v>
      </c>
      <c r="B2" s="466" t="s">
        <v>1334</v>
      </c>
      <c r="C2" s="864" t="s">
        <v>1335</v>
      </c>
      <c r="D2" s="864" t="s">
        <v>605</v>
      </c>
      <c r="E2" s="864" t="s">
        <v>1336</v>
      </c>
      <c r="F2" s="864" t="s">
        <v>195</v>
      </c>
      <c r="G2" s="864" t="s">
        <v>1337</v>
      </c>
      <c r="H2" s="864" t="s">
        <v>1338</v>
      </c>
      <c r="I2" s="466" t="s">
        <v>199</v>
      </c>
      <c r="J2" s="466" t="s">
        <v>202</v>
      </c>
      <c r="K2" s="466" t="s">
        <v>1339</v>
      </c>
      <c r="L2" s="466" t="s">
        <v>1340</v>
      </c>
    </row>
    <row r="3" s="892" customFormat="1" ht="14.25" customHeight="1" spans="1:12">
      <c r="A3" s="852">
        <v>1</v>
      </c>
      <c r="B3" s="853" t="s">
        <v>440</v>
      </c>
      <c r="C3" s="853" t="s">
        <v>1341</v>
      </c>
      <c r="D3" s="853" t="s">
        <v>1302</v>
      </c>
      <c r="E3" s="869">
        <v>43502.9387428572</v>
      </c>
      <c r="F3" s="869">
        <v>0</v>
      </c>
      <c r="G3" s="869">
        <v>0</v>
      </c>
      <c r="H3" s="869">
        <v>0</v>
      </c>
      <c r="I3" s="869">
        <v>0</v>
      </c>
      <c r="J3" s="869">
        <v>0</v>
      </c>
      <c r="K3" s="869">
        <v>43502.9387428572</v>
      </c>
      <c r="L3" s="896" t="s">
        <v>1342</v>
      </c>
    </row>
    <row r="4" s="892" customFormat="1" ht="14.25" customHeight="1" spans="1:12">
      <c r="A4" s="852">
        <v>2</v>
      </c>
      <c r="B4" s="853" t="s">
        <v>440</v>
      </c>
      <c r="C4" s="853" t="s">
        <v>1341</v>
      </c>
      <c r="D4" s="853" t="s">
        <v>1307</v>
      </c>
      <c r="E4" s="869">
        <v>117.47268</v>
      </c>
      <c r="F4" s="869">
        <v>0</v>
      </c>
      <c r="G4" s="869">
        <v>0</v>
      </c>
      <c r="H4" s="869">
        <v>0</v>
      </c>
      <c r="I4" s="869">
        <v>0</v>
      </c>
      <c r="J4" s="869">
        <v>0</v>
      </c>
      <c r="K4" s="869">
        <v>117.47268</v>
      </c>
      <c r="L4" s="896" t="s">
        <v>1342</v>
      </c>
    </row>
    <row r="5" s="892" customFormat="1" ht="14.25" customHeight="1" spans="1:12">
      <c r="A5" s="852">
        <v>3</v>
      </c>
      <c r="B5" s="853" t="s">
        <v>440</v>
      </c>
      <c r="C5" s="853" t="s">
        <v>1341</v>
      </c>
      <c r="D5" s="853" t="s">
        <v>1313</v>
      </c>
      <c r="E5" s="869">
        <v>0</v>
      </c>
      <c r="F5" s="869">
        <v>0</v>
      </c>
      <c r="G5" s="869">
        <v>0</v>
      </c>
      <c r="H5" s="869">
        <v>0</v>
      </c>
      <c r="I5" s="869">
        <v>0</v>
      </c>
      <c r="J5" s="869">
        <v>0</v>
      </c>
      <c r="K5" s="869">
        <v>0</v>
      </c>
      <c r="L5" s="896" t="s">
        <v>1342</v>
      </c>
    </row>
    <row r="6" s="892" customFormat="1" ht="14.25" customHeight="1" spans="1:12">
      <c r="A6" s="852">
        <v>4</v>
      </c>
      <c r="B6" s="853" t="s">
        <v>1343</v>
      </c>
      <c r="C6" s="853" t="s">
        <v>1341</v>
      </c>
      <c r="D6" s="853" t="s">
        <v>697</v>
      </c>
      <c r="E6" s="869">
        <v>0</v>
      </c>
      <c r="F6" s="869">
        <v>0</v>
      </c>
      <c r="G6" s="869">
        <v>0</v>
      </c>
      <c r="H6" s="869">
        <v>0</v>
      </c>
      <c r="I6" s="869">
        <v>0</v>
      </c>
      <c r="J6" s="869">
        <v>0</v>
      </c>
      <c r="K6" s="869">
        <v>0</v>
      </c>
      <c r="L6" s="896" t="s">
        <v>1344</v>
      </c>
    </row>
    <row r="7" s="892" customFormat="1" ht="14.25" customHeight="1" spans="1:12">
      <c r="A7" s="852">
        <v>5</v>
      </c>
      <c r="B7" s="853" t="s">
        <v>1343</v>
      </c>
      <c r="C7" s="853" t="s">
        <v>1341</v>
      </c>
      <c r="D7" s="857" t="s">
        <v>660</v>
      </c>
      <c r="E7" s="869">
        <v>0</v>
      </c>
      <c r="F7" s="869">
        <v>0</v>
      </c>
      <c r="G7" s="869">
        <v>0</v>
      </c>
      <c r="H7" s="869">
        <v>0</v>
      </c>
      <c r="I7" s="869">
        <v>0</v>
      </c>
      <c r="J7" s="869">
        <v>0</v>
      </c>
      <c r="K7" s="869">
        <v>0</v>
      </c>
      <c r="L7" s="896" t="s">
        <v>1344</v>
      </c>
    </row>
    <row r="8" s="892" customFormat="1" ht="14.25" customHeight="1" spans="1:12">
      <c r="A8" s="852">
        <v>6</v>
      </c>
      <c r="B8" s="853" t="s">
        <v>1343</v>
      </c>
      <c r="C8" s="853" t="s">
        <v>1341</v>
      </c>
      <c r="D8" s="894" t="s">
        <v>624</v>
      </c>
      <c r="E8" s="869">
        <v>116.4753028</v>
      </c>
      <c r="F8" s="869">
        <v>0</v>
      </c>
      <c r="G8" s="869">
        <v>0</v>
      </c>
      <c r="H8" s="869">
        <v>0</v>
      </c>
      <c r="I8" s="869">
        <v>0</v>
      </c>
      <c r="J8" s="869">
        <v>0</v>
      </c>
      <c r="K8" s="869">
        <v>116.4753028</v>
      </c>
      <c r="L8" s="896" t="s">
        <v>1344</v>
      </c>
    </row>
    <row r="9" s="892" customFormat="1" ht="14.25" customHeight="1" spans="1:12">
      <c r="A9" s="852">
        <v>7</v>
      </c>
      <c r="B9" s="853" t="s">
        <v>1343</v>
      </c>
      <c r="C9" s="853" t="s">
        <v>1341</v>
      </c>
      <c r="D9" s="894" t="s">
        <v>638</v>
      </c>
      <c r="E9" s="869">
        <v>46.70986566</v>
      </c>
      <c r="F9" s="869">
        <v>0</v>
      </c>
      <c r="G9" s="869">
        <v>0</v>
      </c>
      <c r="H9" s="869">
        <v>0</v>
      </c>
      <c r="I9" s="869">
        <v>0</v>
      </c>
      <c r="J9" s="869">
        <v>0</v>
      </c>
      <c r="K9" s="869">
        <v>46.70986566</v>
      </c>
      <c r="L9" s="896" t="s">
        <v>1344</v>
      </c>
    </row>
    <row r="10" s="892" customFormat="1" ht="14.25" customHeight="1" spans="1:12">
      <c r="A10" s="852">
        <v>8</v>
      </c>
      <c r="B10" s="853" t="s">
        <v>1343</v>
      </c>
      <c r="C10" s="873" t="s">
        <v>1341</v>
      </c>
      <c r="D10" s="894" t="s">
        <v>707</v>
      </c>
      <c r="E10" s="869">
        <v>68.7202639167904</v>
      </c>
      <c r="F10" s="869">
        <v>0</v>
      </c>
      <c r="G10" s="869">
        <v>0</v>
      </c>
      <c r="H10" s="869">
        <v>0</v>
      </c>
      <c r="I10" s="869">
        <v>0</v>
      </c>
      <c r="J10" s="869">
        <v>0</v>
      </c>
      <c r="K10" s="869">
        <v>68.7202639167904</v>
      </c>
      <c r="L10" s="896" t="s">
        <v>1344</v>
      </c>
    </row>
    <row r="11" s="892" customFormat="1" ht="14.25" customHeight="1" spans="1:12">
      <c r="A11" s="852">
        <v>9</v>
      </c>
      <c r="B11" s="853" t="s">
        <v>1343</v>
      </c>
      <c r="C11" s="873" t="s">
        <v>1341</v>
      </c>
      <c r="D11" s="894" t="s">
        <v>710</v>
      </c>
      <c r="E11" s="869">
        <v>67.2923450997357</v>
      </c>
      <c r="F11" s="869">
        <v>0</v>
      </c>
      <c r="G11" s="869">
        <v>0</v>
      </c>
      <c r="H11" s="869">
        <v>0</v>
      </c>
      <c r="I11" s="869">
        <v>0</v>
      </c>
      <c r="J11" s="869">
        <v>0</v>
      </c>
      <c r="K11" s="869">
        <v>67.2923450997357</v>
      </c>
      <c r="L11" s="896" t="s">
        <v>1344</v>
      </c>
    </row>
    <row r="12" s="892" customFormat="1" ht="14.25" customHeight="1" spans="1:12">
      <c r="A12" s="852">
        <v>10</v>
      </c>
      <c r="B12" s="853" t="s">
        <v>1343</v>
      </c>
      <c r="C12" s="873" t="s">
        <v>1341</v>
      </c>
      <c r="D12" s="894" t="s">
        <v>661</v>
      </c>
      <c r="E12" s="869">
        <v>6373.77322186656</v>
      </c>
      <c r="F12" s="869">
        <v>0</v>
      </c>
      <c r="G12" s="869">
        <v>0</v>
      </c>
      <c r="H12" s="869">
        <v>0</v>
      </c>
      <c r="I12" s="869">
        <v>0</v>
      </c>
      <c r="J12" s="869">
        <v>0</v>
      </c>
      <c r="K12" s="869">
        <v>6373.77322186656</v>
      </c>
      <c r="L12" s="896" t="s">
        <v>1344</v>
      </c>
    </row>
    <row r="13" s="892" customFormat="1" ht="12.9" customHeight="1" spans="1:12">
      <c r="A13" s="852">
        <v>11</v>
      </c>
      <c r="B13" s="853" t="s">
        <v>1343</v>
      </c>
      <c r="C13" s="873" t="s">
        <v>1341</v>
      </c>
      <c r="D13" s="873" t="s">
        <v>765</v>
      </c>
      <c r="E13" s="869">
        <v>0</v>
      </c>
      <c r="F13" s="869">
        <v>0</v>
      </c>
      <c r="G13" s="869">
        <v>0</v>
      </c>
      <c r="H13" s="869">
        <v>0</v>
      </c>
      <c r="I13" s="869">
        <v>0</v>
      </c>
      <c r="J13" s="869">
        <v>0</v>
      </c>
      <c r="K13" s="869">
        <v>0</v>
      </c>
      <c r="L13" s="896" t="s">
        <v>1344</v>
      </c>
    </row>
    <row r="14" s="892" customFormat="1" ht="12.9" customHeight="1" spans="1:12">
      <c r="A14" s="852">
        <v>12</v>
      </c>
      <c r="B14" s="853" t="s">
        <v>1343</v>
      </c>
      <c r="C14" s="873" t="s">
        <v>1341</v>
      </c>
      <c r="D14" s="873" t="s">
        <v>767</v>
      </c>
      <c r="E14" s="869">
        <v>0</v>
      </c>
      <c r="F14" s="869">
        <v>0</v>
      </c>
      <c r="G14" s="869">
        <v>0</v>
      </c>
      <c r="H14" s="869">
        <v>0</v>
      </c>
      <c r="I14" s="869">
        <v>0</v>
      </c>
      <c r="J14" s="869">
        <v>0</v>
      </c>
      <c r="K14" s="869">
        <v>0</v>
      </c>
      <c r="L14" s="896" t="s">
        <v>1344</v>
      </c>
    </row>
    <row r="15" s="892" customFormat="1" ht="12.9" customHeight="1" spans="1:12">
      <c r="A15" s="852">
        <v>13</v>
      </c>
      <c r="B15" s="853" t="s">
        <v>1343</v>
      </c>
      <c r="C15" s="873" t="s">
        <v>1341</v>
      </c>
      <c r="D15" s="873" t="s">
        <v>769</v>
      </c>
      <c r="E15" s="869">
        <v>0</v>
      </c>
      <c r="F15" s="869">
        <v>0</v>
      </c>
      <c r="G15" s="869">
        <v>0</v>
      </c>
      <c r="H15" s="869">
        <v>0</v>
      </c>
      <c r="I15" s="869">
        <v>0</v>
      </c>
      <c r="J15" s="869">
        <v>0</v>
      </c>
      <c r="K15" s="869">
        <v>0</v>
      </c>
      <c r="L15" s="896" t="s">
        <v>1344</v>
      </c>
    </row>
    <row r="16" s="892" customFormat="1" ht="12.9" customHeight="1" spans="1:12">
      <c r="A16" s="852">
        <v>14</v>
      </c>
      <c r="B16" s="853" t="s">
        <v>1345</v>
      </c>
      <c r="C16" s="858" t="s">
        <v>1346</v>
      </c>
      <c r="D16" s="873" t="s">
        <v>880</v>
      </c>
      <c r="E16" s="869">
        <v>3036.36227002776</v>
      </c>
      <c r="F16" s="869">
        <v>86.97072</v>
      </c>
      <c r="G16" s="869">
        <v>2.55411</v>
      </c>
      <c r="H16" s="869">
        <v>0</v>
      </c>
      <c r="I16" s="869">
        <v>2.6196</v>
      </c>
      <c r="J16" s="869">
        <v>0</v>
      </c>
      <c r="K16" s="869">
        <v>3128.50670002776</v>
      </c>
      <c r="L16" s="896" t="s">
        <v>1347</v>
      </c>
    </row>
    <row r="17" s="892" customFormat="1" ht="12.9" customHeight="1" spans="1:12">
      <c r="A17" s="852">
        <v>15</v>
      </c>
      <c r="B17" s="853" t="s">
        <v>1345</v>
      </c>
      <c r="C17" s="858" t="s">
        <v>1346</v>
      </c>
      <c r="D17" s="873" t="s">
        <v>928</v>
      </c>
      <c r="E17" s="869">
        <v>6236.85223032729</v>
      </c>
      <c r="F17" s="869">
        <v>93.2256</v>
      </c>
      <c r="G17" s="869">
        <v>24.57</v>
      </c>
      <c r="H17" s="869">
        <v>0</v>
      </c>
      <c r="I17" s="869">
        <v>2.808</v>
      </c>
      <c r="J17" s="869">
        <v>0</v>
      </c>
      <c r="K17" s="869">
        <v>6357.45583032729</v>
      </c>
      <c r="L17" s="896" t="s">
        <v>1347</v>
      </c>
    </row>
    <row r="18" s="892" customFormat="1" ht="12.9" customHeight="1" spans="1:12">
      <c r="A18" s="852">
        <v>16</v>
      </c>
      <c r="B18" s="853" t="s">
        <v>1345</v>
      </c>
      <c r="C18" s="858" t="s">
        <v>1346</v>
      </c>
      <c r="D18" s="873" t="s">
        <v>904</v>
      </c>
      <c r="E18" s="869">
        <v>0</v>
      </c>
      <c r="F18" s="869">
        <v>0</v>
      </c>
      <c r="G18" s="869">
        <v>0</v>
      </c>
      <c r="H18" s="869">
        <v>0</v>
      </c>
      <c r="I18" s="869">
        <v>0</v>
      </c>
      <c r="J18" s="869">
        <v>0</v>
      </c>
      <c r="K18" s="869">
        <v>0</v>
      </c>
      <c r="L18" s="896" t="s">
        <v>1347</v>
      </c>
    </row>
    <row r="19" s="892" customFormat="1" ht="12.9" customHeight="1" spans="1:12">
      <c r="A19" s="852">
        <v>17</v>
      </c>
      <c r="B19" s="853" t="s">
        <v>1345</v>
      </c>
      <c r="C19" s="853" t="s">
        <v>1348</v>
      </c>
      <c r="D19" s="873" t="s">
        <v>774</v>
      </c>
      <c r="E19" s="869">
        <v>17583.9830267098</v>
      </c>
      <c r="F19" s="869">
        <v>25469.4501424</v>
      </c>
      <c r="G19" s="869">
        <v>1947.9939532</v>
      </c>
      <c r="H19" s="869">
        <v>0</v>
      </c>
      <c r="I19" s="869">
        <v>576.671748</v>
      </c>
      <c r="J19" s="869">
        <v>6958.03163408672</v>
      </c>
      <c r="K19" s="869">
        <v>52536.1305043966</v>
      </c>
      <c r="L19" s="896" t="s">
        <v>1347</v>
      </c>
    </row>
    <row r="20" s="892" customFormat="1" ht="14.25" customHeight="1" spans="1:12">
      <c r="A20" s="852">
        <v>18</v>
      </c>
      <c r="B20" s="853" t="s">
        <v>1345</v>
      </c>
      <c r="C20" s="853" t="s">
        <v>1349</v>
      </c>
      <c r="D20" s="766" t="s">
        <v>1350</v>
      </c>
      <c r="E20" s="869">
        <v>0</v>
      </c>
      <c r="F20" s="869">
        <v>0</v>
      </c>
      <c r="G20" s="869">
        <v>0</v>
      </c>
      <c r="H20" s="869">
        <v>0</v>
      </c>
      <c r="I20" s="869">
        <v>0</v>
      </c>
      <c r="J20" s="869">
        <v>0</v>
      </c>
      <c r="K20" s="869">
        <v>0</v>
      </c>
      <c r="L20" s="896" t="s">
        <v>1347</v>
      </c>
    </row>
    <row r="21" s="892" customFormat="1" ht="14.25" customHeight="1" spans="1:12">
      <c r="A21" s="852">
        <v>19</v>
      </c>
      <c r="B21" s="853" t="s">
        <v>1345</v>
      </c>
      <c r="C21" s="853" t="s">
        <v>1346</v>
      </c>
      <c r="D21" s="859" t="s">
        <v>812</v>
      </c>
      <c r="E21" s="869">
        <v>0</v>
      </c>
      <c r="F21" s="869">
        <v>0</v>
      </c>
      <c r="G21" s="869">
        <v>0</v>
      </c>
      <c r="H21" s="869">
        <v>0</v>
      </c>
      <c r="I21" s="869">
        <v>0</v>
      </c>
      <c r="J21" s="869">
        <v>0</v>
      </c>
      <c r="K21" s="869">
        <v>0</v>
      </c>
      <c r="L21" s="896" t="s">
        <v>1347</v>
      </c>
    </row>
    <row r="22" s="892" customFormat="1" ht="14.25" customHeight="1" spans="1:12">
      <c r="A22" s="852">
        <v>20</v>
      </c>
      <c r="B22" s="853" t="s">
        <v>1345</v>
      </c>
      <c r="C22" s="853" t="s">
        <v>1351</v>
      </c>
      <c r="D22" s="873" t="s">
        <v>826</v>
      </c>
      <c r="E22" s="869">
        <v>1085.53566771</v>
      </c>
      <c r="F22" s="869">
        <v>0</v>
      </c>
      <c r="G22" s="869">
        <v>0</v>
      </c>
      <c r="H22" s="869">
        <v>0</v>
      </c>
      <c r="I22" s="869">
        <v>0</v>
      </c>
      <c r="J22" s="869">
        <v>0</v>
      </c>
      <c r="K22" s="869">
        <v>1085.53566771</v>
      </c>
      <c r="L22" s="896" t="s">
        <v>1347</v>
      </c>
    </row>
    <row r="23" s="892" customFormat="1" ht="14.25" customHeight="1" spans="1:12">
      <c r="A23" s="852">
        <v>21</v>
      </c>
      <c r="B23" s="853" t="s">
        <v>1345</v>
      </c>
      <c r="C23" s="853" t="s">
        <v>1351</v>
      </c>
      <c r="D23" s="859" t="s">
        <v>840</v>
      </c>
      <c r="E23" s="869">
        <v>93.38</v>
      </c>
      <c r="F23" s="869">
        <v>0</v>
      </c>
      <c r="G23" s="869">
        <v>0</v>
      </c>
      <c r="H23" s="869">
        <v>0</v>
      </c>
      <c r="I23" s="869">
        <v>0</v>
      </c>
      <c r="J23" s="869">
        <v>0</v>
      </c>
      <c r="K23" s="869">
        <v>93.38</v>
      </c>
      <c r="L23" s="896" t="s">
        <v>1347</v>
      </c>
    </row>
    <row r="24" s="892" customFormat="1" ht="14.25" customHeight="1" spans="1:12">
      <c r="A24" s="852">
        <v>22</v>
      </c>
      <c r="B24" s="853" t="s">
        <v>1345</v>
      </c>
      <c r="C24" s="853" t="s">
        <v>1351</v>
      </c>
      <c r="D24" s="859" t="s">
        <v>843</v>
      </c>
      <c r="E24" s="869">
        <v>0</v>
      </c>
      <c r="F24" s="869">
        <v>0</v>
      </c>
      <c r="G24" s="869">
        <v>0</v>
      </c>
      <c r="H24" s="869">
        <v>0</v>
      </c>
      <c r="I24" s="869">
        <v>0</v>
      </c>
      <c r="J24" s="869">
        <v>0</v>
      </c>
      <c r="K24" s="869">
        <v>0</v>
      </c>
      <c r="L24" s="896" t="s">
        <v>1347</v>
      </c>
    </row>
    <row r="25" s="892" customFormat="1" ht="14.25" customHeight="1" spans="1:12">
      <c r="A25" s="852">
        <v>23</v>
      </c>
      <c r="B25" s="853" t="s">
        <v>1345</v>
      </c>
      <c r="C25" s="853" t="s">
        <v>1351</v>
      </c>
      <c r="D25" s="859" t="s">
        <v>850</v>
      </c>
      <c r="E25" s="869">
        <v>2587.32688066189</v>
      </c>
      <c r="F25" s="869">
        <v>0</v>
      </c>
      <c r="G25" s="869">
        <v>0</v>
      </c>
      <c r="H25" s="869">
        <v>0</v>
      </c>
      <c r="I25" s="869">
        <v>0</v>
      </c>
      <c r="J25" s="869">
        <v>0</v>
      </c>
      <c r="K25" s="869">
        <v>2587.32688066189</v>
      </c>
      <c r="L25" s="896" t="s">
        <v>1347</v>
      </c>
    </row>
    <row r="26" s="892" customFormat="1" ht="14.25" customHeight="1" spans="1:12">
      <c r="A26" s="852">
        <v>24</v>
      </c>
      <c r="B26" s="853" t="s">
        <v>1345</v>
      </c>
      <c r="C26" s="853" t="s">
        <v>1351</v>
      </c>
      <c r="D26" s="860" t="s">
        <v>1352</v>
      </c>
      <c r="E26" s="869">
        <v>0</v>
      </c>
      <c r="F26" s="869">
        <v>0</v>
      </c>
      <c r="G26" s="869">
        <v>0</v>
      </c>
      <c r="H26" s="869">
        <v>0</v>
      </c>
      <c r="I26" s="869">
        <v>0</v>
      </c>
      <c r="J26" s="869">
        <v>0</v>
      </c>
      <c r="K26" s="869">
        <v>0</v>
      </c>
      <c r="L26" s="896" t="s">
        <v>1347</v>
      </c>
    </row>
    <row r="27" s="892" customFormat="1" ht="14.25" customHeight="1" spans="1:12">
      <c r="A27" s="852">
        <v>25</v>
      </c>
      <c r="B27" s="853" t="s">
        <v>1345</v>
      </c>
      <c r="C27" s="853" t="s">
        <v>1351</v>
      </c>
      <c r="D27" s="873" t="s">
        <v>869</v>
      </c>
      <c r="E27" s="869">
        <v>151.818113501388</v>
      </c>
      <c r="F27" s="869">
        <v>0</v>
      </c>
      <c r="G27" s="869">
        <v>0</v>
      </c>
      <c r="H27" s="869">
        <v>0</v>
      </c>
      <c r="I27" s="869">
        <v>0</v>
      </c>
      <c r="J27" s="869">
        <v>0</v>
      </c>
      <c r="K27" s="869">
        <v>151.818113501388</v>
      </c>
      <c r="L27" s="896" t="s">
        <v>1347</v>
      </c>
    </row>
    <row r="28" s="892" customFormat="1" ht="14.25" customHeight="1" spans="1:12">
      <c r="A28" s="852">
        <v>26</v>
      </c>
      <c r="B28" s="853" t="s">
        <v>1345</v>
      </c>
      <c r="C28" s="853" t="s">
        <v>1351</v>
      </c>
      <c r="D28" s="873" t="s">
        <v>874</v>
      </c>
      <c r="E28" s="869">
        <v>0</v>
      </c>
      <c r="F28" s="869">
        <v>0</v>
      </c>
      <c r="G28" s="869">
        <v>0</v>
      </c>
      <c r="H28" s="869">
        <v>0</v>
      </c>
      <c r="I28" s="869">
        <v>0</v>
      </c>
      <c r="J28" s="869">
        <v>0</v>
      </c>
      <c r="K28" s="869">
        <v>0</v>
      </c>
      <c r="L28" s="896" t="s">
        <v>1347</v>
      </c>
    </row>
    <row r="29" s="892" customFormat="1" ht="14.25" customHeight="1" spans="1:12">
      <c r="A29" s="852">
        <v>27</v>
      </c>
      <c r="B29" s="853" t="s">
        <v>1345</v>
      </c>
      <c r="C29" s="853" t="s">
        <v>1351</v>
      </c>
      <c r="D29" s="873" t="s">
        <v>1353</v>
      </c>
      <c r="E29" s="869">
        <v>0</v>
      </c>
      <c r="F29" s="869">
        <v>0</v>
      </c>
      <c r="G29" s="869">
        <v>0</v>
      </c>
      <c r="H29" s="869">
        <v>0</v>
      </c>
      <c r="I29" s="869">
        <v>0</v>
      </c>
      <c r="J29" s="869">
        <v>0</v>
      </c>
      <c r="K29" s="869">
        <v>0</v>
      </c>
      <c r="L29" s="896" t="s">
        <v>1347</v>
      </c>
    </row>
    <row r="30" s="892" customFormat="1" ht="14.25" customHeight="1" spans="1:12">
      <c r="A30" s="852">
        <v>28</v>
      </c>
      <c r="B30" s="853" t="s">
        <v>1354</v>
      </c>
      <c r="C30" s="853" t="s">
        <v>1355</v>
      </c>
      <c r="D30" s="873" t="s">
        <v>1356</v>
      </c>
      <c r="E30" s="869">
        <v>0</v>
      </c>
      <c r="F30" s="869">
        <v>0</v>
      </c>
      <c r="G30" s="869">
        <v>0</v>
      </c>
      <c r="H30" s="869">
        <v>0</v>
      </c>
      <c r="I30" s="869">
        <v>0</v>
      </c>
      <c r="J30" s="869">
        <v>0</v>
      </c>
      <c r="K30" s="869">
        <v>0</v>
      </c>
      <c r="L30" s="896" t="s">
        <v>1347</v>
      </c>
    </row>
    <row r="31" s="892" customFormat="1" ht="14.25" customHeight="1" spans="1:12">
      <c r="A31" s="852">
        <v>29</v>
      </c>
      <c r="B31" s="853" t="s">
        <v>1354</v>
      </c>
      <c r="C31" s="853" t="s">
        <v>1355</v>
      </c>
      <c r="D31" s="873" t="s">
        <v>1357</v>
      </c>
      <c r="E31" s="869">
        <v>0</v>
      </c>
      <c r="F31" s="869">
        <v>129.27291</v>
      </c>
      <c r="G31" s="869">
        <v>14.9485738461538</v>
      </c>
      <c r="H31" s="869">
        <v>0</v>
      </c>
      <c r="I31" s="869">
        <v>26.1012</v>
      </c>
      <c r="J31" s="869">
        <v>292.000485557328</v>
      </c>
      <c r="K31" s="869">
        <v>462.323169403482</v>
      </c>
      <c r="L31" s="896" t="s">
        <v>1347</v>
      </c>
    </row>
    <row r="32" s="892" customFormat="1" ht="14.25" customHeight="1" spans="1:12">
      <c r="A32" s="852">
        <v>30</v>
      </c>
      <c r="B32" s="853" t="s">
        <v>1345</v>
      </c>
      <c r="C32" s="853" t="s">
        <v>1351</v>
      </c>
      <c r="D32" s="873" t="s">
        <v>1358</v>
      </c>
      <c r="E32" s="869">
        <v>0</v>
      </c>
      <c r="F32" s="869">
        <v>175.37568</v>
      </c>
      <c r="G32" s="869">
        <v>7.83077884615385</v>
      </c>
      <c r="H32" s="869">
        <v>0</v>
      </c>
      <c r="I32" s="869">
        <v>2.35764</v>
      </c>
      <c r="J32" s="869">
        <v>167.570806960054</v>
      </c>
      <c r="K32" s="869">
        <v>353.134905806208</v>
      </c>
      <c r="L32" s="896" t="s">
        <v>1347</v>
      </c>
    </row>
    <row r="33" s="892" customFormat="1" ht="14.25" customHeight="1" spans="1:12">
      <c r="A33" s="852">
        <v>31</v>
      </c>
      <c r="B33" s="853" t="s">
        <v>1354</v>
      </c>
      <c r="C33" s="853" t="s">
        <v>1355</v>
      </c>
      <c r="D33" s="873" t="s">
        <v>891</v>
      </c>
      <c r="E33" s="869">
        <v>432.066144640437</v>
      </c>
      <c r="F33" s="869">
        <v>374.750064</v>
      </c>
      <c r="G33" s="869">
        <v>26.4046653</v>
      </c>
      <c r="H33" s="869">
        <v>0</v>
      </c>
      <c r="I33" s="869">
        <v>6.00561</v>
      </c>
      <c r="J33" s="869">
        <v>0</v>
      </c>
      <c r="K33" s="869">
        <v>839.226483940437</v>
      </c>
      <c r="L33" s="896" t="s">
        <v>1347</v>
      </c>
    </row>
    <row r="34" s="892" customFormat="1" ht="14.25" customHeight="1" spans="1:12">
      <c r="A34" s="852">
        <v>32</v>
      </c>
      <c r="B34" s="853" t="s">
        <v>1345</v>
      </c>
      <c r="C34" s="858" t="s">
        <v>1346</v>
      </c>
      <c r="D34" s="873" t="s">
        <v>913</v>
      </c>
      <c r="E34" s="869">
        <v>849.627040891249</v>
      </c>
      <c r="F34" s="869">
        <v>0</v>
      </c>
      <c r="G34" s="869">
        <v>0</v>
      </c>
      <c r="H34" s="869">
        <v>0</v>
      </c>
      <c r="I34" s="869">
        <v>0</v>
      </c>
      <c r="J34" s="869">
        <v>0</v>
      </c>
      <c r="K34" s="869">
        <v>849.627040891249</v>
      </c>
      <c r="L34" s="896" t="s">
        <v>1347</v>
      </c>
    </row>
    <row r="35" s="892" customFormat="1" ht="14.25" customHeight="1" spans="1:12">
      <c r="A35" s="852">
        <v>33</v>
      </c>
      <c r="B35" s="853" t="s">
        <v>1354</v>
      </c>
      <c r="C35" s="853" t="s">
        <v>1355</v>
      </c>
      <c r="D35" s="873" t="s">
        <v>943</v>
      </c>
      <c r="E35" s="869">
        <v>0</v>
      </c>
      <c r="F35" s="869">
        <v>783.448848</v>
      </c>
      <c r="G35" s="869">
        <v>73.7200971</v>
      </c>
      <c r="H35" s="869">
        <v>0</v>
      </c>
      <c r="I35" s="869">
        <v>16.76727</v>
      </c>
      <c r="J35" s="869">
        <v>364.385085978175</v>
      </c>
      <c r="K35" s="869">
        <v>1238.32130107818</v>
      </c>
      <c r="L35" s="896" t="s">
        <v>1347</v>
      </c>
    </row>
    <row r="36" s="892" customFormat="1" ht="14.25" customHeight="1" spans="1:12">
      <c r="A36" s="852">
        <v>34</v>
      </c>
      <c r="B36" s="853" t="s">
        <v>1354</v>
      </c>
      <c r="C36" s="853" t="s">
        <v>1355</v>
      </c>
      <c r="D36" s="873" t="s">
        <v>1359</v>
      </c>
      <c r="E36" s="869">
        <v>0</v>
      </c>
      <c r="F36" s="869">
        <v>118.75968</v>
      </c>
      <c r="G36" s="869">
        <v>12.268035</v>
      </c>
      <c r="H36" s="869">
        <v>0</v>
      </c>
      <c r="I36" s="869">
        <v>0.63648</v>
      </c>
      <c r="J36" s="869">
        <v>0</v>
      </c>
      <c r="K36" s="869">
        <v>131.664195</v>
      </c>
      <c r="L36" s="896" t="s">
        <v>1347</v>
      </c>
    </row>
    <row r="37" s="892" customFormat="1" ht="14.25" customHeight="1" spans="1:12">
      <c r="A37" s="852">
        <v>35</v>
      </c>
      <c r="B37" s="853" t="s">
        <v>1354</v>
      </c>
      <c r="C37" s="858" t="s">
        <v>1346</v>
      </c>
      <c r="D37" s="873" t="s">
        <v>1360</v>
      </c>
      <c r="E37" s="869">
        <v>0</v>
      </c>
      <c r="F37" s="869">
        <v>870</v>
      </c>
      <c r="G37" s="869">
        <v>68.96</v>
      </c>
      <c r="H37" s="869">
        <v>0</v>
      </c>
      <c r="I37" s="869">
        <v>0</v>
      </c>
      <c r="J37" s="869">
        <v>0</v>
      </c>
      <c r="K37" s="869">
        <v>938.96</v>
      </c>
      <c r="L37" s="896" t="s">
        <v>1347</v>
      </c>
    </row>
    <row r="38" s="892" customFormat="1" ht="14.25" customHeight="1" spans="1:12">
      <c r="A38" s="852">
        <v>36</v>
      </c>
      <c r="B38" s="853" t="s">
        <v>1345</v>
      </c>
      <c r="C38" s="858" t="s">
        <v>1346</v>
      </c>
      <c r="D38" s="873" t="s">
        <v>1361</v>
      </c>
      <c r="E38" s="869">
        <v>0</v>
      </c>
      <c r="F38" s="869">
        <v>120</v>
      </c>
      <c r="G38" s="869">
        <v>14.6</v>
      </c>
      <c r="H38" s="869">
        <v>0</v>
      </c>
      <c r="I38" s="869">
        <v>0</v>
      </c>
      <c r="J38" s="869">
        <v>0</v>
      </c>
      <c r="K38" s="869">
        <v>134.6</v>
      </c>
      <c r="L38" s="896" t="s">
        <v>1347</v>
      </c>
    </row>
    <row r="39" s="892" customFormat="1" ht="14.25" customHeight="1" spans="1:12">
      <c r="A39" s="852">
        <v>37</v>
      </c>
      <c r="B39" s="853" t="s">
        <v>1345</v>
      </c>
      <c r="C39" s="858" t="s">
        <v>1346</v>
      </c>
      <c r="D39" s="873" t="s">
        <v>931</v>
      </c>
      <c r="E39" s="869">
        <v>0</v>
      </c>
      <c r="F39" s="869">
        <v>1182.9159</v>
      </c>
      <c r="G39" s="869">
        <v>177.32694</v>
      </c>
      <c r="H39" s="869">
        <v>0</v>
      </c>
      <c r="I39" s="869">
        <v>42.8904</v>
      </c>
      <c r="J39" s="869">
        <v>559.647737891665</v>
      </c>
      <c r="K39" s="869">
        <v>1962.78097789166</v>
      </c>
      <c r="L39" s="896" t="s">
        <v>1347</v>
      </c>
    </row>
    <row r="40" s="892" customFormat="1" ht="14.25" customHeight="1" spans="1:12">
      <c r="A40" s="852">
        <v>38</v>
      </c>
      <c r="B40" s="853" t="s">
        <v>1345</v>
      </c>
      <c r="C40" s="858" t="s">
        <v>1346</v>
      </c>
      <c r="D40" s="873" t="s">
        <v>934</v>
      </c>
      <c r="E40" s="869">
        <v>0</v>
      </c>
      <c r="F40" s="869">
        <v>0</v>
      </c>
      <c r="G40" s="869">
        <v>0</v>
      </c>
      <c r="H40" s="869">
        <v>0</v>
      </c>
      <c r="I40" s="869">
        <v>0</v>
      </c>
      <c r="J40" s="869">
        <v>0</v>
      </c>
      <c r="K40" s="869">
        <v>0</v>
      </c>
      <c r="L40" s="896" t="s">
        <v>1347</v>
      </c>
    </row>
    <row r="41" s="892" customFormat="1" ht="14.25" customHeight="1" spans="1:12">
      <c r="A41" s="852">
        <v>39</v>
      </c>
      <c r="B41" s="853" t="s">
        <v>1345</v>
      </c>
      <c r="C41" s="853" t="s">
        <v>1362</v>
      </c>
      <c r="D41" s="873" t="s">
        <v>1363</v>
      </c>
      <c r="E41" s="869">
        <v>0</v>
      </c>
      <c r="F41" s="869">
        <v>15501.816</v>
      </c>
      <c r="G41" s="869">
        <v>997.0324</v>
      </c>
      <c r="H41" s="869">
        <v>0</v>
      </c>
      <c r="I41" s="869">
        <v>0</v>
      </c>
      <c r="J41" s="869">
        <v>0</v>
      </c>
      <c r="K41" s="869">
        <v>16498.8484</v>
      </c>
      <c r="L41" s="896" t="s">
        <v>1347</v>
      </c>
    </row>
    <row r="42" s="892" customFormat="1" ht="14.25" customHeight="1" spans="1:12">
      <c r="A42" s="852">
        <v>40</v>
      </c>
      <c r="B42" s="853" t="s">
        <v>1345</v>
      </c>
      <c r="C42" s="853" t="s">
        <v>1349</v>
      </c>
      <c r="D42" s="873" t="s">
        <v>1364</v>
      </c>
      <c r="E42" s="869">
        <v>0</v>
      </c>
      <c r="F42" s="869">
        <v>1122.0768</v>
      </c>
      <c r="G42" s="869">
        <v>0</v>
      </c>
      <c r="H42" s="869">
        <v>0</v>
      </c>
      <c r="I42" s="869">
        <v>0</v>
      </c>
      <c r="J42" s="869">
        <v>0</v>
      </c>
      <c r="K42" s="869">
        <v>1122.0768</v>
      </c>
      <c r="L42" s="896" t="s">
        <v>1347</v>
      </c>
    </row>
    <row r="43" s="892" customFormat="1" ht="14.25" customHeight="1" spans="1:12">
      <c r="A43" s="852">
        <v>41</v>
      </c>
      <c r="B43" s="853" t="s">
        <v>1345</v>
      </c>
      <c r="C43" s="853" t="s">
        <v>1349</v>
      </c>
      <c r="D43" s="873" t="s">
        <v>1365</v>
      </c>
      <c r="E43" s="869">
        <v>0</v>
      </c>
      <c r="F43" s="869">
        <v>1870.128</v>
      </c>
      <c r="G43" s="869">
        <v>0</v>
      </c>
      <c r="H43" s="869">
        <v>0</v>
      </c>
      <c r="I43" s="869">
        <v>0</v>
      </c>
      <c r="J43" s="869">
        <v>0</v>
      </c>
      <c r="K43" s="869">
        <v>1870.128</v>
      </c>
      <c r="L43" s="896" t="s">
        <v>1347</v>
      </c>
    </row>
    <row r="44" s="892" customFormat="1" ht="14.25" customHeight="1" spans="1:12">
      <c r="A44" s="852">
        <v>42</v>
      </c>
      <c r="B44" s="853" t="s">
        <v>1345</v>
      </c>
      <c r="C44" s="853" t="s">
        <v>1366</v>
      </c>
      <c r="D44" s="873" t="s">
        <v>1367</v>
      </c>
      <c r="E44" s="869">
        <v>0</v>
      </c>
      <c r="F44" s="869">
        <v>311.688</v>
      </c>
      <c r="G44" s="869">
        <v>0</v>
      </c>
      <c r="H44" s="869">
        <v>0</v>
      </c>
      <c r="I44" s="869">
        <v>0</v>
      </c>
      <c r="J44" s="869">
        <v>0</v>
      </c>
      <c r="K44" s="869">
        <v>311.688</v>
      </c>
      <c r="L44" s="896" t="s">
        <v>1347</v>
      </c>
    </row>
    <row r="45" s="892" customFormat="1" ht="14.25" customHeight="1" spans="1:12">
      <c r="A45" s="852">
        <v>43</v>
      </c>
      <c r="B45" s="853" t="s">
        <v>1345</v>
      </c>
      <c r="C45" s="853" t="s">
        <v>1349</v>
      </c>
      <c r="D45" s="873" t="s">
        <v>1368</v>
      </c>
      <c r="E45" s="869">
        <v>0</v>
      </c>
      <c r="F45" s="869">
        <v>935.064</v>
      </c>
      <c r="G45" s="869">
        <v>0</v>
      </c>
      <c r="H45" s="869">
        <v>0</v>
      </c>
      <c r="I45" s="869">
        <v>0</v>
      </c>
      <c r="J45" s="869">
        <v>0</v>
      </c>
      <c r="K45" s="869">
        <v>935.064</v>
      </c>
      <c r="L45" s="896" t="s">
        <v>1347</v>
      </c>
    </row>
    <row r="46" s="892" customFormat="1" ht="14.25" customHeight="1" spans="1:12">
      <c r="A46" s="852">
        <v>44</v>
      </c>
      <c r="B46" s="853" t="s">
        <v>1354</v>
      </c>
      <c r="C46" s="853" t="s">
        <v>1366</v>
      </c>
      <c r="D46" s="873" t="s">
        <v>1369</v>
      </c>
      <c r="E46" s="869">
        <v>0</v>
      </c>
      <c r="F46" s="869">
        <v>103.896</v>
      </c>
      <c r="G46" s="869">
        <v>0</v>
      </c>
      <c r="H46" s="869">
        <v>0</v>
      </c>
      <c r="I46" s="869">
        <v>0</v>
      </c>
      <c r="J46" s="869">
        <v>0</v>
      </c>
      <c r="K46" s="869">
        <v>103.896</v>
      </c>
      <c r="L46" s="896" t="s">
        <v>1347</v>
      </c>
    </row>
    <row r="47" s="892" customFormat="1" ht="14.25" customHeight="1" spans="1:12">
      <c r="A47" s="852">
        <v>45</v>
      </c>
      <c r="B47" s="853" t="s">
        <v>1345</v>
      </c>
      <c r="C47" s="853" t="s">
        <v>1366</v>
      </c>
      <c r="D47" s="873" t="s">
        <v>1370</v>
      </c>
      <c r="E47" s="869">
        <v>0</v>
      </c>
      <c r="F47" s="869">
        <v>0</v>
      </c>
      <c r="G47" s="869">
        <v>0</v>
      </c>
      <c r="H47" s="869">
        <v>0</v>
      </c>
      <c r="I47" s="869">
        <v>0</v>
      </c>
      <c r="J47" s="869">
        <v>0</v>
      </c>
      <c r="K47" s="869">
        <v>0</v>
      </c>
      <c r="L47" s="896" t="s">
        <v>1347</v>
      </c>
    </row>
    <row r="48" s="892" customFormat="1" ht="14.25" customHeight="1" spans="1:12">
      <c r="A48" s="852">
        <v>46</v>
      </c>
      <c r="B48" s="853" t="s">
        <v>1354</v>
      </c>
      <c r="C48" s="853" t="s">
        <v>1366</v>
      </c>
      <c r="D48" s="873" t="s">
        <v>1371</v>
      </c>
      <c r="E48" s="869">
        <v>0</v>
      </c>
      <c r="F48" s="869">
        <v>556.0191</v>
      </c>
      <c r="G48" s="869">
        <v>14.2272</v>
      </c>
      <c r="H48" s="869">
        <v>0</v>
      </c>
      <c r="I48" s="869">
        <v>0</v>
      </c>
      <c r="J48" s="869">
        <v>0</v>
      </c>
      <c r="K48" s="869">
        <v>570.2463</v>
      </c>
      <c r="L48" s="896" t="s">
        <v>1347</v>
      </c>
    </row>
    <row r="49" s="892" customFormat="1" ht="14.25" customHeight="1" spans="1:12">
      <c r="A49" s="852">
        <v>47</v>
      </c>
      <c r="B49" s="853" t="s">
        <v>1354</v>
      </c>
      <c r="C49" s="853" t="s">
        <v>1366</v>
      </c>
      <c r="D49" s="873" t="s">
        <v>1372</v>
      </c>
      <c r="E49" s="869">
        <v>0</v>
      </c>
      <c r="F49" s="869">
        <v>0</v>
      </c>
      <c r="G49" s="869">
        <v>0</v>
      </c>
      <c r="H49" s="869">
        <v>0</v>
      </c>
      <c r="I49" s="869">
        <v>0</v>
      </c>
      <c r="J49" s="869">
        <v>0</v>
      </c>
      <c r="K49" s="869">
        <v>0</v>
      </c>
      <c r="L49" s="896" t="s">
        <v>1347</v>
      </c>
    </row>
    <row r="50" s="892" customFormat="1" ht="14.25" customHeight="1" spans="1:12">
      <c r="A50" s="852">
        <v>48</v>
      </c>
      <c r="B50" s="853" t="s">
        <v>1354</v>
      </c>
      <c r="C50" s="853" t="s">
        <v>1366</v>
      </c>
      <c r="D50" s="873" t="s">
        <v>1373</v>
      </c>
      <c r="E50" s="869">
        <v>0</v>
      </c>
      <c r="F50" s="869">
        <v>98.85213</v>
      </c>
      <c r="G50" s="869">
        <v>2.93904</v>
      </c>
      <c r="H50" s="869">
        <v>0</v>
      </c>
      <c r="I50" s="869">
        <v>0</v>
      </c>
      <c r="J50" s="869">
        <v>0</v>
      </c>
      <c r="K50" s="869">
        <v>101.79117</v>
      </c>
      <c r="L50" s="896" t="s">
        <v>1347</v>
      </c>
    </row>
    <row r="51" s="892" customFormat="1" ht="14.25" customHeight="1" spans="1:12">
      <c r="A51" s="852">
        <v>49</v>
      </c>
      <c r="B51" s="853" t="s">
        <v>1354</v>
      </c>
      <c r="C51" s="853" t="s">
        <v>1366</v>
      </c>
      <c r="D51" s="873" t="s">
        <v>1374</v>
      </c>
      <c r="E51" s="869">
        <v>0</v>
      </c>
      <c r="F51" s="869">
        <v>0</v>
      </c>
      <c r="G51" s="869">
        <v>0</v>
      </c>
      <c r="H51" s="869">
        <v>0</v>
      </c>
      <c r="I51" s="869">
        <v>0</v>
      </c>
      <c r="J51" s="869">
        <v>0</v>
      </c>
      <c r="K51" s="869">
        <v>0</v>
      </c>
      <c r="L51" s="896" t="s">
        <v>1347</v>
      </c>
    </row>
    <row r="52" s="892" customFormat="1" ht="14.25" customHeight="1" spans="1:12">
      <c r="A52" s="852">
        <v>50</v>
      </c>
      <c r="B52" s="853" t="s">
        <v>1354</v>
      </c>
      <c r="C52" s="853" t="s">
        <v>1366</v>
      </c>
      <c r="D52" s="873" t="s">
        <v>1375</v>
      </c>
      <c r="E52" s="869">
        <v>0</v>
      </c>
      <c r="F52" s="869">
        <v>87.6096</v>
      </c>
      <c r="G52" s="869">
        <v>0</v>
      </c>
      <c r="H52" s="869">
        <v>0</v>
      </c>
      <c r="I52" s="869">
        <v>0</v>
      </c>
      <c r="J52" s="869">
        <v>0</v>
      </c>
      <c r="K52" s="869">
        <v>87.6096</v>
      </c>
      <c r="L52" s="896" t="s">
        <v>1347</v>
      </c>
    </row>
    <row r="53" s="892" customFormat="1" ht="14.25" customHeight="1" spans="1:12">
      <c r="A53" s="852">
        <v>51</v>
      </c>
      <c r="B53" s="853" t="s">
        <v>1354</v>
      </c>
      <c r="C53" s="853" t="s">
        <v>1366</v>
      </c>
      <c r="D53" s="895" t="s">
        <v>1376</v>
      </c>
      <c r="E53" s="869">
        <v>0</v>
      </c>
      <c r="F53" s="869">
        <v>317.5848</v>
      </c>
      <c r="G53" s="869">
        <v>0</v>
      </c>
      <c r="H53" s="869">
        <v>0</v>
      </c>
      <c r="I53" s="869">
        <v>0</v>
      </c>
      <c r="J53" s="869">
        <v>0</v>
      </c>
      <c r="K53" s="869">
        <v>317.5848</v>
      </c>
      <c r="L53" s="896" t="s">
        <v>1347</v>
      </c>
    </row>
    <row r="54" s="892" customFormat="1" ht="14.25" customHeight="1" spans="1:12">
      <c r="A54" s="852">
        <v>52</v>
      </c>
      <c r="B54" s="853" t="s">
        <v>1354</v>
      </c>
      <c r="C54" s="853" t="s">
        <v>1349</v>
      </c>
      <c r="D54" s="873" t="s">
        <v>1377</v>
      </c>
      <c r="E54" s="869">
        <v>0</v>
      </c>
      <c r="F54" s="869">
        <v>0</v>
      </c>
      <c r="G54" s="869">
        <v>0</v>
      </c>
      <c r="H54" s="869">
        <v>0</v>
      </c>
      <c r="I54" s="869">
        <v>0</v>
      </c>
      <c r="J54" s="869">
        <v>0</v>
      </c>
      <c r="K54" s="869">
        <v>0</v>
      </c>
      <c r="L54" s="896" t="s">
        <v>1347</v>
      </c>
    </row>
    <row r="55" s="892" customFormat="1" ht="14.25" customHeight="1" spans="1:12">
      <c r="A55" s="852">
        <v>53</v>
      </c>
      <c r="B55" s="853" t="s">
        <v>1345</v>
      </c>
      <c r="C55" s="853" t="s">
        <v>1351</v>
      </c>
      <c r="D55" s="873" t="s">
        <v>1378</v>
      </c>
      <c r="E55" s="869">
        <v>0</v>
      </c>
      <c r="F55" s="869">
        <v>0</v>
      </c>
      <c r="G55" s="869">
        <v>0</v>
      </c>
      <c r="H55" s="869">
        <v>0</v>
      </c>
      <c r="I55" s="869">
        <v>0</v>
      </c>
      <c r="J55" s="869">
        <v>0</v>
      </c>
      <c r="K55" s="869">
        <v>0</v>
      </c>
      <c r="L55" s="896" t="s">
        <v>1347</v>
      </c>
    </row>
    <row r="56" s="892" customFormat="1" ht="14.25" customHeight="1" spans="1:12">
      <c r="A56" s="852">
        <v>54</v>
      </c>
      <c r="B56" s="853" t="s">
        <v>1345</v>
      </c>
      <c r="C56" s="853" t="s">
        <v>1351</v>
      </c>
      <c r="D56" s="873" t="s">
        <v>1379</v>
      </c>
      <c r="E56" s="869">
        <v>0</v>
      </c>
      <c r="F56" s="869">
        <v>0</v>
      </c>
      <c r="G56" s="869">
        <v>0</v>
      </c>
      <c r="H56" s="869">
        <v>0</v>
      </c>
      <c r="I56" s="869">
        <v>0</v>
      </c>
      <c r="J56" s="869">
        <v>0</v>
      </c>
      <c r="K56" s="869">
        <v>0</v>
      </c>
      <c r="L56" s="896" t="s">
        <v>1347</v>
      </c>
    </row>
    <row r="57" s="892" customFormat="1" ht="14.25" customHeight="1" spans="1:12">
      <c r="A57" s="852">
        <v>55</v>
      </c>
      <c r="B57" s="853" t="s">
        <v>1354</v>
      </c>
      <c r="C57" s="853" t="s">
        <v>1351</v>
      </c>
      <c r="D57" s="290" t="s">
        <v>1380</v>
      </c>
      <c r="E57" s="869">
        <v>0</v>
      </c>
      <c r="F57" s="869">
        <v>1001.52</v>
      </c>
      <c r="G57" s="869">
        <v>0</v>
      </c>
      <c r="H57" s="869">
        <v>0</v>
      </c>
      <c r="I57" s="869">
        <v>15</v>
      </c>
      <c r="J57" s="869">
        <v>0</v>
      </c>
      <c r="K57" s="869">
        <v>1016.52</v>
      </c>
      <c r="L57" s="896" t="s">
        <v>1347</v>
      </c>
    </row>
    <row r="58" s="892" customFormat="1" ht="14.25" customHeight="1" spans="1:12">
      <c r="A58" s="852">
        <v>56</v>
      </c>
      <c r="B58" s="853" t="s">
        <v>1345</v>
      </c>
      <c r="C58" s="853" t="s">
        <v>1351</v>
      </c>
      <c r="D58" s="873" t="s">
        <v>1381</v>
      </c>
      <c r="E58" s="869">
        <v>0</v>
      </c>
      <c r="F58" s="869">
        <v>644.76</v>
      </c>
      <c r="G58" s="869">
        <v>0</v>
      </c>
      <c r="H58" s="869">
        <v>0</v>
      </c>
      <c r="I58" s="869">
        <v>11.3846153846154</v>
      </c>
      <c r="J58" s="869">
        <v>0</v>
      </c>
      <c r="K58" s="869">
        <v>656.144615384615</v>
      </c>
      <c r="L58" s="896" t="s">
        <v>1347</v>
      </c>
    </row>
    <row r="59" s="892" customFormat="1" ht="14.25" customHeight="1" spans="1:12">
      <c r="A59" s="852">
        <v>57</v>
      </c>
      <c r="B59" s="853" t="s">
        <v>1345</v>
      </c>
      <c r="C59" s="853" t="s">
        <v>1351</v>
      </c>
      <c r="D59" s="873" t="s">
        <v>1382</v>
      </c>
      <c r="E59" s="869">
        <v>0</v>
      </c>
      <c r="F59" s="869">
        <v>0</v>
      </c>
      <c r="G59" s="869">
        <v>1002.44</v>
      </c>
      <c r="H59" s="869">
        <v>0</v>
      </c>
      <c r="I59" s="869">
        <v>0</v>
      </c>
      <c r="J59" s="869">
        <v>0</v>
      </c>
      <c r="K59" s="869">
        <v>1002.44</v>
      </c>
      <c r="L59" s="896" t="s">
        <v>1347</v>
      </c>
    </row>
    <row r="60" s="892" customFormat="1" ht="14.25" customHeight="1" spans="1:12">
      <c r="A60" s="852">
        <v>58</v>
      </c>
      <c r="B60" s="853" t="s">
        <v>1345</v>
      </c>
      <c r="C60" s="853" t="s">
        <v>1351</v>
      </c>
      <c r="D60" s="873" t="s">
        <v>1383</v>
      </c>
      <c r="E60" s="869">
        <v>0</v>
      </c>
      <c r="F60" s="869">
        <v>0</v>
      </c>
      <c r="G60" s="869">
        <v>0</v>
      </c>
      <c r="H60" s="869">
        <v>0</v>
      </c>
      <c r="I60" s="869">
        <v>0</v>
      </c>
      <c r="J60" s="869">
        <v>0</v>
      </c>
      <c r="K60" s="869">
        <v>0</v>
      </c>
      <c r="L60" s="896" t="s">
        <v>1347</v>
      </c>
    </row>
    <row r="61" s="892" customFormat="1" ht="14.25" customHeight="1" spans="1:12">
      <c r="A61" s="852">
        <v>59</v>
      </c>
      <c r="B61" s="853" t="s">
        <v>1345</v>
      </c>
      <c r="C61" s="853" t="s">
        <v>1351</v>
      </c>
      <c r="D61" s="873" t="s">
        <v>1384</v>
      </c>
      <c r="E61" s="869">
        <v>0</v>
      </c>
      <c r="F61" s="869">
        <v>270</v>
      </c>
      <c r="G61" s="869">
        <v>395.7</v>
      </c>
      <c r="H61" s="869">
        <v>0</v>
      </c>
      <c r="I61" s="869">
        <v>0</v>
      </c>
      <c r="J61" s="869">
        <v>0</v>
      </c>
      <c r="K61" s="869">
        <v>665.7</v>
      </c>
      <c r="L61" s="896" t="s">
        <v>1347</v>
      </c>
    </row>
    <row r="62" s="892" customFormat="1" ht="14.25" customHeight="1" spans="1:12">
      <c r="A62" s="852">
        <v>60</v>
      </c>
      <c r="B62" s="853" t="s">
        <v>1354</v>
      </c>
      <c r="C62" s="853" t="s">
        <v>1351</v>
      </c>
      <c r="D62" s="873" t="s">
        <v>1385</v>
      </c>
      <c r="E62" s="869">
        <v>0</v>
      </c>
      <c r="F62" s="869">
        <v>0</v>
      </c>
      <c r="G62" s="869">
        <v>0</v>
      </c>
      <c r="H62" s="869">
        <v>0</v>
      </c>
      <c r="I62" s="869">
        <v>0</v>
      </c>
      <c r="J62" s="869">
        <v>0</v>
      </c>
      <c r="K62" s="869">
        <v>0</v>
      </c>
      <c r="L62" s="896" t="s">
        <v>1347</v>
      </c>
    </row>
    <row r="63" s="892" customFormat="1" ht="14.25" customHeight="1" spans="1:12">
      <c r="A63" s="852">
        <v>61</v>
      </c>
      <c r="B63" s="853" t="s">
        <v>1345</v>
      </c>
      <c r="C63" s="853" t="s">
        <v>1351</v>
      </c>
      <c r="D63" s="873" t="s">
        <v>1386</v>
      </c>
      <c r="E63" s="869">
        <v>0</v>
      </c>
      <c r="F63" s="869">
        <v>2431.82774</v>
      </c>
      <c r="G63" s="869">
        <v>31.8</v>
      </c>
      <c r="H63" s="869">
        <v>0</v>
      </c>
      <c r="I63" s="869">
        <v>38.7786</v>
      </c>
      <c r="J63" s="869">
        <v>0</v>
      </c>
      <c r="K63" s="869">
        <v>2502.40634</v>
      </c>
      <c r="L63" s="896" t="s">
        <v>1347</v>
      </c>
    </row>
    <row r="64" s="892" customFormat="1" ht="14.25" customHeight="1" spans="1:12">
      <c r="A64" s="852">
        <v>62</v>
      </c>
      <c r="B64" s="853" t="s">
        <v>1345</v>
      </c>
      <c r="C64" s="853" t="s">
        <v>1351</v>
      </c>
      <c r="D64" s="873" t="s">
        <v>1387</v>
      </c>
      <c r="E64" s="869">
        <v>0</v>
      </c>
      <c r="F64" s="869">
        <v>1364.1708</v>
      </c>
      <c r="G64" s="869">
        <v>56.0405661538461</v>
      </c>
      <c r="H64" s="869">
        <v>0</v>
      </c>
      <c r="I64" s="869">
        <v>20.34</v>
      </c>
      <c r="J64" s="869">
        <v>0</v>
      </c>
      <c r="K64" s="869">
        <v>1440.55136615385</v>
      </c>
      <c r="L64" s="896" t="s">
        <v>1347</v>
      </c>
    </row>
    <row r="65" s="892" customFormat="1" ht="14.25" customHeight="1" spans="1:12">
      <c r="A65" s="852">
        <v>63</v>
      </c>
      <c r="B65" s="853" t="s">
        <v>1345</v>
      </c>
      <c r="C65" s="858" t="s">
        <v>1346</v>
      </c>
      <c r="D65" s="873" t="s">
        <v>1388</v>
      </c>
      <c r="E65" s="869">
        <v>0</v>
      </c>
      <c r="F65" s="869">
        <v>210</v>
      </c>
      <c r="G65" s="869">
        <v>11.1</v>
      </c>
      <c r="H65" s="869">
        <v>0</v>
      </c>
      <c r="I65" s="869">
        <v>0</v>
      </c>
      <c r="J65" s="869">
        <v>0</v>
      </c>
      <c r="K65" s="869">
        <v>221.1</v>
      </c>
      <c r="L65" s="896" t="s">
        <v>1347</v>
      </c>
    </row>
    <row r="66" s="892" customFormat="1" ht="14.25" customHeight="1" spans="1:12">
      <c r="A66" s="852">
        <v>64</v>
      </c>
      <c r="B66" s="853" t="s">
        <v>1345</v>
      </c>
      <c r="C66" s="853" t="s">
        <v>1351</v>
      </c>
      <c r="D66" s="873" t="s">
        <v>1389</v>
      </c>
      <c r="E66" s="869">
        <v>0</v>
      </c>
      <c r="F66" s="869">
        <v>610.88</v>
      </c>
      <c r="G66" s="869">
        <v>81.585</v>
      </c>
      <c r="H66" s="869">
        <v>0</v>
      </c>
      <c r="I66" s="869">
        <v>11.988</v>
      </c>
      <c r="J66" s="869">
        <v>0</v>
      </c>
      <c r="K66" s="869">
        <v>704.453</v>
      </c>
      <c r="L66" s="896" t="s">
        <v>1347</v>
      </c>
    </row>
    <row r="67" s="892" customFormat="1" ht="14.25" customHeight="1" spans="1:12">
      <c r="A67" s="852">
        <v>65</v>
      </c>
      <c r="B67" s="853" t="s">
        <v>1354</v>
      </c>
      <c r="C67" s="853" t="s">
        <v>1351</v>
      </c>
      <c r="D67" s="873" t="s">
        <v>1390</v>
      </c>
      <c r="E67" s="869">
        <v>0</v>
      </c>
      <c r="F67" s="869">
        <v>0</v>
      </c>
      <c r="G67" s="869">
        <v>0</v>
      </c>
      <c r="H67" s="869">
        <v>0</v>
      </c>
      <c r="I67" s="869">
        <v>0</v>
      </c>
      <c r="J67" s="869">
        <v>0</v>
      </c>
      <c r="K67" s="869">
        <v>0</v>
      </c>
      <c r="L67" s="896" t="s">
        <v>1347</v>
      </c>
    </row>
    <row r="68" s="892" customFormat="1" ht="14.25" customHeight="1" spans="1:12">
      <c r="A68" s="852">
        <v>66</v>
      </c>
      <c r="B68" s="853" t="s">
        <v>1345</v>
      </c>
      <c r="C68" s="853" t="s">
        <v>1351</v>
      </c>
      <c r="D68" s="873" t="s">
        <v>1073</v>
      </c>
      <c r="E68" s="869">
        <v>0</v>
      </c>
      <c r="F68" s="869">
        <v>51.948</v>
      </c>
      <c r="G68" s="869">
        <v>1.8740352</v>
      </c>
      <c r="H68" s="869">
        <v>0</v>
      </c>
      <c r="I68" s="869">
        <v>0.8325</v>
      </c>
      <c r="J68" s="869">
        <v>23.0465780875085</v>
      </c>
      <c r="K68" s="869">
        <v>77.7011132875085</v>
      </c>
      <c r="L68" s="896" t="s">
        <v>1347</v>
      </c>
    </row>
    <row r="69" s="892" customFormat="1" ht="14.25" customHeight="1" spans="1:12">
      <c r="A69" s="852">
        <v>67</v>
      </c>
      <c r="B69" s="853" t="s">
        <v>1345</v>
      </c>
      <c r="C69" s="853" t="s">
        <v>1351</v>
      </c>
      <c r="D69" s="873" t="s">
        <v>1391</v>
      </c>
      <c r="E69" s="869">
        <v>0</v>
      </c>
      <c r="F69" s="869">
        <v>13.28</v>
      </c>
      <c r="G69" s="869">
        <v>4.2735</v>
      </c>
      <c r="H69" s="869">
        <v>0</v>
      </c>
      <c r="I69" s="869">
        <v>0.41292</v>
      </c>
      <c r="J69" s="869">
        <v>0</v>
      </c>
      <c r="K69" s="869">
        <v>17.96642</v>
      </c>
      <c r="L69" s="896" t="s">
        <v>1347</v>
      </c>
    </row>
    <row r="70" s="892" customFormat="1" ht="14.25" customHeight="1" spans="1:12">
      <c r="A70" s="852">
        <v>68</v>
      </c>
      <c r="B70" s="853" t="s">
        <v>1345</v>
      </c>
      <c r="C70" s="858" t="s">
        <v>1346</v>
      </c>
      <c r="D70" s="873" t="s">
        <v>993</v>
      </c>
      <c r="E70" s="869">
        <v>449.916388372281</v>
      </c>
      <c r="F70" s="869">
        <v>44.2224</v>
      </c>
      <c r="G70" s="869">
        <v>2.67732</v>
      </c>
      <c r="H70" s="869">
        <v>0</v>
      </c>
      <c r="I70" s="869">
        <v>4.44</v>
      </c>
      <c r="J70" s="869">
        <v>0</v>
      </c>
      <c r="K70" s="869">
        <v>501.256108372281</v>
      </c>
      <c r="L70" s="896" t="s">
        <v>1347</v>
      </c>
    </row>
    <row r="71" s="892" customFormat="1" ht="14.25" customHeight="1" spans="1:12">
      <c r="A71" s="852">
        <v>69</v>
      </c>
      <c r="B71" s="853" t="s">
        <v>1345</v>
      </c>
      <c r="C71" s="858" t="s">
        <v>1346</v>
      </c>
      <c r="D71" s="873" t="s">
        <v>1392</v>
      </c>
      <c r="E71" s="869">
        <v>0</v>
      </c>
      <c r="F71" s="869">
        <v>262.025712</v>
      </c>
      <c r="G71" s="869">
        <v>18.4621749</v>
      </c>
      <c r="H71" s="869">
        <v>0</v>
      </c>
      <c r="I71" s="869">
        <v>0</v>
      </c>
      <c r="J71" s="869">
        <v>0</v>
      </c>
      <c r="K71" s="869">
        <v>280.4878869</v>
      </c>
      <c r="L71" s="896" t="s">
        <v>1347</v>
      </c>
    </row>
    <row r="72" s="892" customFormat="1" ht="14.25" customHeight="1" spans="1:12">
      <c r="A72" s="852">
        <v>70</v>
      </c>
      <c r="B72" s="853" t="s">
        <v>1345</v>
      </c>
      <c r="C72" s="858" t="s">
        <v>1346</v>
      </c>
      <c r="D72" s="873" t="s">
        <v>1393</v>
      </c>
      <c r="E72" s="869">
        <v>0</v>
      </c>
      <c r="F72" s="869">
        <v>355.739904</v>
      </c>
      <c r="G72" s="869">
        <v>25.0652208</v>
      </c>
      <c r="H72" s="869">
        <v>0</v>
      </c>
      <c r="I72" s="869">
        <v>5.70096</v>
      </c>
      <c r="J72" s="869">
        <v>32.8742480227223</v>
      </c>
      <c r="K72" s="869">
        <v>419.380332822722</v>
      </c>
      <c r="L72" s="896" t="s">
        <v>1347</v>
      </c>
    </row>
    <row r="73" s="892" customFormat="1" ht="14.25" customHeight="1" spans="1:12">
      <c r="A73" s="852">
        <v>71</v>
      </c>
      <c r="B73" s="853" t="s">
        <v>1345</v>
      </c>
      <c r="C73" s="858" t="s">
        <v>1346</v>
      </c>
      <c r="D73" s="873" t="s">
        <v>1394</v>
      </c>
      <c r="E73" s="869">
        <v>0</v>
      </c>
      <c r="F73" s="869">
        <v>79.24176</v>
      </c>
      <c r="G73" s="869">
        <v>0.54756</v>
      </c>
      <c r="H73" s="869">
        <v>0</v>
      </c>
      <c r="I73" s="869">
        <v>0</v>
      </c>
      <c r="J73" s="869">
        <v>0</v>
      </c>
      <c r="K73" s="869">
        <v>79.78932</v>
      </c>
      <c r="L73" s="896" t="s">
        <v>1347</v>
      </c>
    </row>
    <row r="74" s="892" customFormat="1" ht="14.25" customHeight="1" spans="1:12">
      <c r="A74" s="852">
        <v>72</v>
      </c>
      <c r="B74" s="853" t="s">
        <v>1345</v>
      </c>
      <c r="C74" s="858" t="s">
        <v>1346</v>
      </c>
      <c r="D74" s="873" t="s">
        <v>1395</v>
      </c>
      <c r="E74" s="869">
        <v>0</v>
      </c>
      <c r="F74" s="869">
        <v>0</v>
      </c>
      <c r="G74" s="869">
        <v>0</v>
      </c>
      <c r="H74" s="869">
        <v>0</v>
      </c>
      <c r="I74" s="869">
        <v>0</v>
      </c>
      <c r="J74" s="869">
        <v>0</v>
      </c>
      <c r="K74" s="869">
        <v>0</v>
      </c>
      <c r="L74" s="896" t="s">
        <v>1347</v>
      </c>
    </row>
    <row r="75" s="892" customFormat="1" ht="14.25" customHeight="1" spans="1:12">
      <c r="A75" s="852">
        <v>73</v>
      </c>
      <c r="B75" s="853" t="s">
        <v>1345</v>
      </c>
      <c r="C75" s="858" t="s">
        <v>1346</v>
      </c>
      <c r="D75" s="873" t="s">
        <v>1396</v>
      </c>
      <c r="E75" s="869">
        <v>0</v>
      </c>
      <c r="F75" s="869">
        <v>199.0008</v>
      </c>
      <c r="G75" s="869">
        <v>0</v>
      </c>
      <c r="H75" s="869">
        <v>0</v>
      </c>
      <c r="I75" s="869">
        <v>0</v>
      </c>
      <c r="J75" s="869">
        <v>0</v>
      </c>
      <c r="K75" s="869">
        <v>199.0008</v>
      </c>
      <c r="L75" s="896" t="s">
        <v>1347</v>
      </c>
    </row>
    <row r="76" s="892" customFormat="1" ht="14.25" customHeight="1" spans="1:12">
      <c r="A76" s="852">
        <v>74</v>
      </c>
      <c r="B76" s="853" t="s">
        <v>1345</v>
      </c>
      <c r="C76" s="853" t="s">
        <v>1351</v>
      </c>
      <c r="D76" s="873" t="s">
        <v>956</v>
      </c>
      <c r="E76" s="869">
        <v>2401.410224</v>
      </c>
      <c r="F76" s="869">
        <v>0</v>
      </c>
      <c r="G76" s="869">
        <v>0</v>
      </c>
      <c r="H76" s="869">
        <v>0</v>
      </c>
      <c r="I76" s="869">
        <v>0</v>
      </c>
      <c r="J76" s="869">
        <v>0</v>
      </c>
      <c r="K76" s="869">
        <v>2401.410224</v>
      </c>
      <c r="L76" s="896" t="s">
        <v>1347</v>
      </c>
    </row>
    <row r="77" s="892" customFormat="1" ht="14.25" customHeight="1" spans="1:12">
      <c r="A77" s="852">
        <v>75</v>
      </c>
      <c r="B77" s="853" t="s">
        <v>1345</v>
      </c>
      <c r="C77" s="853" t="s">
        <v>1351</v>
      </c>
      <c r="D77" s="873" t="s">
        <v>959</v>
      </c>
      <c r="E77" s="869">
        <v>0</v>
      </c>
      <c r="F77" s="869">
        <v>0</v>
      </c>
      <c r="G77" s="869">
        <v>0</v>
      </c>
      <c r="H77" s="869">
        <v>0</v>
      </c>
      <c r="I77" s="869">
        <v>0</v>
      </c>
      <c r="J77" s="869">
        <v>0</v>
      </c>
      <c r="K77" s="869">
        <v>0</v>
      </c>
      <c r="L77" s="896" t="s">
        <v>1347</v>
      </c>
    </row>
    <row r="78" s="892" customFormat="1" ht="14.25" customHeight="1" spans="1:12">
      <c r="A78" s="852">
        <v>76</v>
      </c>
      <c r="B78" s="853" t="s">
        <v>1345</v>
      </c>
      <c r="C78" s="853" t="s">
        <v>1351</v>
      </c>
      <c r="D78" s="873" t="s">
        <v>1025</v>
      </c>
      <c r="E78" s="869">
        <v>0</v>
      </c>
      <c r="F78" s="869">
        <v>0</v>
      </c>
      <c r="G78" s="869">
        <v>0</v>
      </c>
      <c r="H78" s="869">
        <v>0</v>
      </c>
      <c r="I78" s="869">
        <v>0</v>
      </c>
      <c r="J78" s="869">
        <v>0</v>
      </c>
      <c r="K78" s="869">
        <v>0</v>
      </c>
      <c r="L78" s="896" t="s">
        <v>1347</v>
      </c>
    </row>
    <row r="79" s="892" customFormat="1" ht="14.25" customHeight="1" spans="1:12">
      <c r="A79" s="852">
        <v>77</v>
      </c>
      <c r="B79" s="853" t="s">
        <v>1397</v>
      </c>
      <c r="C79" s="853" t="s">
        <v>1398</v>
      </c>
      <c r="D79" s="873" t="s">
        <v>1080</v>
      </c>
      <c r="E79" s="869">
        <v>196.012229568567</v>
      </c>
      <c r="F79" s="869">
        <v>0</v>
      </c>
      <c r="G79" s="869">
        <v>0</v>
      </c>
      <c r="H79" s="869">
        <v>0</v>
      </c>
      <c r="I79" s="869">
        <v>0</v>
      </c>
      <c r="J79" s="869">
        <v>0</v>
      </c>
      <c r="K79" s="869">
        <v>196.012229568567</v>
      </c>
      <c r="L79" s="896" t="s">
        <v>1397</v>
      </c>
    </row>
    <row r="80" s="892" customFormat="1" ht="14.25" customHeight="1" spans="1:12">
      <c r="A80" s="852">
        <v>78</v>
      </c>
      <c r="B80" s="853" t="s">
        <v>1397</v>
      </c>
      <c r="C80" s="853" t="s">
        <v>1398</v>
      </c>
      <c r="D80" s="873" t="s">
        <v>1085</v>
      </c>
      <c r="E80" s="869">
        <v>570.929112456373</v>
      </c>
      <c r="F80" s="869">
        <v>0</v>
      </c>
      <c r="G80" s="869">
        <v>0</v>
      </c>
      <c r="H80" s="869">
        <v>0</v>
      </c>
      <c r="I80" s="869">
        <v>0</v>
      </c>
      <c r="J80" s="869">
        <v>0</v>
      </c>
      <c r="K80" s="869">
        <v>570.929112456373</v>
      </c>
      <c r="L80" s="896" t="s">
        <v>1397</v>
      </c>
    </row>
    <row r="81" s="892" customFormat="1" ht="14.25" customHeight="1" spans="1:12">
      <c r="A81" s="852">
        <v>79</v>
      </c>
      <c r="B81" s="853" t="s">
        <v>1397</v>
      </c>
      <c r="C81" s="853" t="s">
        <v>1398</v>
      </c>
      <c r="D81" s="873" t="s">
        <v>1088</v>
      </c>
      <c r="E81" s="869">
        <v>106.741195036</v>
      </c>
      <c r="F81" s="869">
        <v>0</v>
      </c>
      <c r="G81" s="869">
        <v>0</v>
      </c>
      <c r="H81" s="869">
        <v>0</v>
      </c>
      <c r="I81" s="869">
        <v>0</v>
      </c>
      <c r="J81" s="869">
        <v>0</v>
      </c>
      <c r="K81" s="869">
        <v>106.741195036</v>
      </c>
      <c r="L81" s="896" t="s">
        <v>1397</v>
      </c>
    </row>
    <row r="82" s="892" customFormat="1" ht="14.25" customHeight="1" spans="1:12">
      <c r="A82" s="852">
        <v>80</v>
      </c>
      <c r="B82" s="853" t="s">
        <v>1397</v>
      </c>
      <c r="C82" s="853" t="s">
        <v>1398</v>
      </c>
      <c r="D82" s="766" t="s">
        <v>1399</v>
      </c>
      <c r="E82" s="869">
        <v>0</v>
      </c>
      <c r="F82" s="869">
        <v>0</v>
      </c>
      <c r="G82" s="869">
        <v>0</v>
      </c>
      <c r="H82" s="869">
        <v>0</v>
      </c>
      <c r="I82" s="869">
        <v>0</v>
      </c>
      <c r="J82" s="869">
        <v>0</v>
      </c>
      <c r="K82" s="869">
        <v>0</v>
      </c>
      <c r="L82" s="896" t="s">
        <v>1397</v>
      </c>
    </row>
    <row r="83" s="892" customFormat="1" ht="14.25" customHeight="1" spans="1:12">
      <c r="A83" s="852">
        <v>81</v>
      </c>
      <c r="B83" s="853" t="s">
        <v>1397</v>
      </c>
      <c r="C83" s="853" t="s">
        <v>1398</v>
      </c>
      <c r="D83" s="897" t="s">
        <v>1400</v>
      </c>
      <c r="E83" s="869">
        <v>0</v>
      </c>
      <c r="F83" s="869">
        <v>0</v>
      </c>
      <c r="G83" s="869">
        <v>0</v>
      </c>
      <c r="H83" s="869">
        <v>0</v>
      </c>
      <c r="I83" s="869">
        <v>0</v>
      </c>
      <c r="J83" s="869">
        <v>0</v>
      </c>
      <c r="K83" s="869">
        <v>0</v>
      </c>
      <c r="L83" s="896" t="s">
        <v>1397</v>
      </c>
    </row>
    <row r="84" s="892" customFormat="1" ht="14.25" customHeight="1" spans="1:12">
      <c r="A84" s="852">
        <v>82</v>
      </c>
      <c r="B84" s="853" t="s">
        <v>1397</v>
      </c>
      <c r="C84" s="853" t="s">
        <v>1398</v>
      </c>
      <c r="D84" s="859" t="s">
        <v>1095</v>
      </c>
      <c r="E84" s="869">
        <v>6.66905514804295</v>
      </c>
      <c r="F84" s="869">
        <v>0</v>
      </c>
      <c r="G84" s="869">
        <v>0</v>
      </c>
      <c r="H84" s="869">
        <v>0</v>
      </c>
      <c r="I84" s="869">
        <v>0</v>
      </c>
      <c r="J84" s="869">
        <v>0</v>
      </c>
      <c r="K84" s="869">
        <v>6.66905514804295</v>
      </c>
      <c r="L84" s="896" t="s">
        <v>1397</v>
      </c>
    </row>
    <row r="85" s="892" customFormat="1" ht="14.25" customHeight="1" spans="1:12">
      <c r="A85" s="852">
        <v>83</v>
      </c>
      <c r="B85" s="853" t="s">
        <v>1397</v>
      </c>
      <c r="C85" s="853" t="s">
        <v>1398</v>
      </c>
      <c r="D85" s="898" t="s">
        <v>1099</v>
      </c>
      <c r="E85" s="869">
        <v>61.4712909297872</v>
      </c>
      <c r="F85" s="869">
        <v>0</v>
      </c>
      <c r="G85" s="869">
        <v>0</v>
      </c>
      <c r="H85" s="869">
        <v>0</v>
      </c>
      <c r="I85" s="869">
        <v>0</v>
      </c>
      <c r="J85" s="869">
        <v>0</v>
      </c>
      <c r="K85" s="869">
        <v>61.4712909297872</v>
      </c>
      <c r="L85" s="896" t="s">
        <v>1397</v>
      </c>
    </row>
    <row r="86" s="892" customFormat="1" ht="14.25" customHeight="1" spans="1:12">
      <c r="A86" s="852">
        <v>84</v>
      </c>
      <c r="B86" s="853" t="s">
        <v>1397</v>
      </c>
      <c r="C86" s="853" t="s">
        <v>1398</v>
      </c>
      <c r="D86" s="898" t="s">
        <v>1104</v>
      </c>
      <c r="E86" s="869">
        <v>0</v>
      </c>
      <c r="F86" s="869">
        <v>0</v>
      </c>
      <c r="G86" s="869">
        <v>0</v>
      </c>
      <c r="H86" s="869">
        <v>0</v>
      </c>
      <c r="I86" s="869">
        <v>0</v>
      </c>
      <c r="J86" s="869">
        <v>0</v>
      </c>
      <c r="K86" s="869">
        <v>0</v>
      </c>
      <c r="L86" s="896" t="s">
        <v>1397</v>
      </c>
    </row>
    <row r="87" s="892" customFormat="1" ht="14.25" customHeight="1" spans="1:12">
      <c r="A87" s="852">
        <v>85</v>
      </c>
      <c r="B87" s="853" t="s">
        <v>1397</v>
      </c>
      <c r="C87" s="853" t="s">
        <v>1398</v>
      </c>
      <c r="D87" s="898" t="s">
        <v>1108</v>
      </c>
      <c r="E87" s="869">
        <v>170.205885734835</v>
      </c>
      <c r="F87" s="869">
        <v>0</v>
      </c>
      <c r="G87" s="869">
        <v>0</v>
      </c>
      <c r="H87" s="869">
        <v>0</v>
      </c>
      <c r="I87" s="869">
        <v>0</v>
      </c>
      <c r="J87" s="869">
        <v>0</v>
      </c>
      <c r="K87" s="869">
        <v>170.205885734835</v>
      </c>
      <c r="L87" s="896" t="s">
        <v>1397</v>
      </c>
    </row>
    <row r="88" s="892" customFormat="1" ht="14.25" customHeight="1" spans="1:12">
      <c r="A88" s="852">
        <v>86</v>
      </c>
      <c r="B88" s="853" t="s">
        <v>1397</v>
      </c>
      <c r="C88" s="853" t="s">
        <v>1398</v>
      </c>
      <c r="D88" s="859" t="s">
        <v>1112</v>
      </c>
      <c r="E88" s="869">
        <v>0</v>
      </c>
      <c r="F88" s="869">
        <v>0</v>
      </c>
      <c r="G88" s="869">
        <v>0</v>
      </c>
      <c r="H88" s="869">
        <v>0</v>
      </c>
      <c r="I88" s="869">
        <v>0</v>
      </c>
      <c r="J88" s="869">
        <v>0</v>
      </c>
      <c r="K88" s="869">
        <v>0</v>
      </c>
      <c r="L88" s="896" t="s">
        <v>1397</v>
      </c>
    </row>
    <row r="89" s="892" customFormat="1" ht="14.25" customHeight="1" spans="1:12">
      <c r="A89" s="852">
        <v>87</v>
      </c>
      <c r="B89" s="853" t="s">
        <v>546</v>
      </c>
      <c r="C89" s="853" t="s">
        <v>1401</v>
      </c>
      <c r="D89" s="873" t="s">
        <v>570</v>
      </c>
      <c r="E89" s="869">
        <v>490</v>
      </c>
      <c r="F89" s="869">
        <v>0</v>
      </c>
      <c r="G89" s="869">
        <v>0</v>
      </c>
      <c r="H89" s="869">
        <v>0</v>
      </c>
      <c r="I89" s="869">
        <v>0</v>
      </c>
      <c r="J89" s="869">
        <v>0</v>
      </c>
      <c r="K89" s="869">
        <v>490</v>
      </c>
      <c r="L89" s="896" t="s">
        <v>1342</v>
      </c>
    </row>
    <row r="90" s="892" customFormat="1" ht="14.25" customHeight="1" spans="1:12">
      <c r="A90" s="852">
        <v>88</v>
      </c>
      <c r="B90" s="853" t="s">
        <v>546</v>
      </c>
      <c r="C90" s="853" t="s">
        <v>1401</v>
      </c>
      <c r="D90" s="873" t="s">
        <v>1116</v>
      </c>
      <c r="E90" s="869">
        <v>492.930163116218</v>
      </c>
      <c r="F90" s="869">
        <v>0</v>
      </c>
      <c r="G90" s="869">
        <v>0</v>
      </c>
      <c r="H90" s="869">
        <v>0</v>
      </c>
      <c r="I90" s="869">
        <v>0</v>
      </c>
      <c r="J90" s="869">
        <v>0</v>
      </c>
      <c r="K90" s="869">
        <v>492.930163116218</v>
      </c>
      <c r="L90" s="896" t="s">
        <v>1347</v>
      </c>
    </row>
    <row r="91" s="892" customFormat="1" ht="14.25" customHeight="1" spans="1:12">
      <c r="A91" s="852">
        <v>89</v>
      </c>
      <c r="B91" s="853" t="s">
        <v>546</v>
      </c>
      <c r="C91" s="853" t="s">
        <v>1401</v>
      </c>
      <c r="D91" s="873" t="s">
        <v>1119</v>
      </c>
      <c r="E91" s="869">
        <v>54.8022357817443</v>
      </c>
      <c r="F91" s="869">
        <v>0</v>
      </c>
      <c r="G91" s="869">
        <v>0</v>
      </c>
      <c r="H91" s="869">
        <v>0</v>
      </c>
      <c r="I91" s="869">
        <v>0</v>
      </c>
      <c r="J91" s="869">
        <v>0</v>
      </c>
      <c r="K91" s="869">
        <v>54.8022357817443</v>
      </c>
      <c r="L91" s="896" t="s">
        <v>1347</v>
      </c>
    </row>
    <row r="92" s="892" customFormat="1" ht="14.25" customHeight="1" spans="1:12">
      <c r="A92" s="852">
        <v>90</v>
      </c>
      <c r="B92" s="853" t="s">
        <v>546</v>
      </c>
      <c r="C92" s="853" t="s">
        <v>1401</v>
      </c>
      <c r="D92" s="873" t="s">
        <v>1128</v>
      </c>
      <c r="E92" s="869">
        <v>0</v>
      </c>
      <c r="F92" s="869">
        <v>0</v>
      </c>
      <c r="G92" s="869">
        <v>0</v>
      </c>
      <c r="H92" s="869">
        <v>0</v>
      </c>
      <c r="I92" s="869">
        <v>0</v>
      </c>
      <c r="J92" s="869">
        <v>0</v>
      </c>
      <c r="K92" s="869">
        <v>0</v>
      </c>
      <c r="L92" s="896" t="s">
        <v>1347</v>
      </c>
    </row>
    <row r="93" s="892" customFormat="1" ht="14.25" customHeight="1" spans="1:12">
      <c r="A93" s="852">
        <v>91</v>
      </c>
      <c r="B93" s="853" t="s">
        <v>1345</v>
      </c>
      <c r="C93" s="853" t="s">
        <v>1401</v>
      </c>
      <c r="D93" s="766" t="s">
        <v>1142</v>
      </c>
      <c r="E93" s="869">
        <v>0</v>
      </c>
      <c r="F93" s="869">
        <v>0</v>
      </c>
      <c r="G93" s="869">
        <v>0</v>
      </c>
      <c r="H93" s="869">
        <v>0</v>
      </c>
      <c r="I93" s="869">
        <v>0</v>
      </c>
      <c r="J93" s="869">
        <v>0</v>
      </c>
      <c r="K93" s="869">
        <v>0</v>
      </c>
      <c r="L93" s="896" t="s">
        <v>1347</v>
      </c>
    </row>
    <row r="94" s="892" customFormat="1" ht="14.25" customHeight="1" spans="1:12">
      <c r="A94" s="852">
        <v>92</v>
      </c>
      <c r="B94" s="853" t="s">
        <v>1345</v>
      </c>
      <c r="C94" s="853" t="s">
        <v>1401</v>
      </c>
      <c r="D94" s="873" t="s">
        <v>1147</v>
      </c>
      <c r="E94" s="869">
        <v>112.701013986616</v>
      </c>
      <c r="F94" s="869">
        <v>0</v>
      </c>
      <c r="G94" s="869">
        <v>0</v>
      </c>
      <c r="H94" s="869">
        <v>0</v>
      </c>
      <c r="I94" s="869">
        <v>0</v>
      </c>
      <c r="J94" s="869">
        <v>0</v>
      </c>
      <c r="K94" s="869">
        <v>112.701013986616</v>
      </c>
      <c r="L94" s="896" t="s">
        <v>1347</v>
      </c>
    </row>
    <row r="95" s="892" customFormat="1" ht="14.25" customHeight="1" spans="1:12">
      <c r="A95" s="852">
        <v>93</v>
      </c>
      <c r="B95" s="853" t="s">
        <v>1345</v>
      </c>
      <c r="C95" s="853" t="s">
        <v>1401</v>
      </c>
      <c r="D95" s="873" t="s">
        <v>1150</v>
      </c>
      <c r="E95" s="869">
        <v>37.0928580014202</v>
      </c>
      <c r="F95" s="869">
        <v>0</v>
      </c>
      <c r="G95" s="869">
        <v>0</v>
      </c>
      <c r="H95" s="869">
        <v>0</v>
      </c>
      <c r="I95" s="869">
        <v>0</v>
      </c>
      <c r="J95" s="869">
        <v>0</v>
      </c>
      <c r="K95" s="869">
        <v>37.0928580014202</v>
      </c>
      <c r="L95" s="896" t="s">
        <v>1347</v>
      </c>
    </row>
    <row r="96" s="892" customFormat="1" ht="14.25" customHeight="1" spans="1:12">
      <c r="A96" s="852">
        <v>94</v>
      </c>
      <c r="B96" s="853" t="s">
        <v>1345</v>
      </c>
      <c r="C96" s="853" t="s">
        <v>1401</v>
      </c>
      <c r="D96" s="895" t="s">
        <v>1133</v>
      </c>
      <c r="E96" s="869">
        <v>60.7272454005552</v>
      </c>
      <c r="F96" s="869">
        <v>0</v>
      </c>
      <c r="G96" s="869">
        <v>0</v>
      </c>
      <c r="H96" s="869">
        <v>0</v>
      </c>
      <c r="I96" s="869">
        <v>0</v>
      </c>
      <c r="J96" s="869">
        <v>0</v>
      </c>
      <c r="K96" s="869">
        <v>60.7272454005552</v>
      </c>
      <c r="L96" s="896" t="s">
        <v>1347</v>
      </c>
    </row>
    <row r="97" s="892" customFormat="1" ht="14.25" customHeight="1" spans="1:12">
      <c r="A97" s="852">
        <v>95</v>
      </c>
      <c r="B97" s="853" t="s">
        <v>1402</v>
      </c>
      <c r="C97" s="853" t="s">
        <v>1403</v>
      </c>
      <c r="D97" s="895" t="s">
        <v>1155</v>
      </c>
      <c r="E97" s="869">
        <v>1425</v>
      </c>
      <c r="F97" s="869">
        <v>0</v>
      </c>
      <c r="G97" s="869">
        <v>0</v>
      </c>
      <c r="H97" s="869">
        <v>0</v>
      </c>
      <c r="I97" s="869">
        <v>0</v>
      </c>
      <c r="J97" s="869">
        <v>0</v>
      </c>
      <c r="K97" s="869">
        <v>1425</v>
      </c>
      <c r="L97" s="896" t="s">
        <v>1402</v>
      </c>
    </row>
    <row r="98" s="892" customFormat="1" ht="14.25" customHeight="1" spans="1:12">
      <c r="A98" s="852">
        <v>96</v>
      </c>
      <c r="B98" s="853" t="s">
        <v>1402</v>
      </c>
      <c r="C98" s="853" t="s">
        <v>1403</v>
      </c>
      <c r="D98" s="895" t="s">
        <v>1169</v>
      </c>
      <c r="E98" s="869">
        <v>284.75</v>
      </c>
      <c r="F98" s="869">
        <v>0</v>
      </c>
      <c r="G98" s="869">
        <v>0</v>
      </c>
      <c r="H98" s="869">
        <v>0</v>
      </c>
      <c r="I98" s="869">
        <v>0</v>
      </c>
      <c r="J98" s="869">
        <v>0</v>
      </c>
      <c r="K98" s="869">
        <v>284.75</v>
      </c>
      <c r="L98" s="896" t="s">
        <v>1402</v>
      </c>
    </row>
    <row r="99" s="892" customFormat="1" ht="14.25" customHeight="1" spans="1:12">
      <c r="A99" s="852">
        <v>97</v>
      </c>
      <c r="B99" s="853" t="s">
        <v>1402</v>
      </c>
      <c r="C99" s="853" t="s">
        <v>1403</v>
      </c>
      <c r="D99" s="895" t="s">
        <v>1185</v>
      </c>
      <c r="E99" s="869">
        <v>0</v>
      </c>
      <c r="F99" s="869">
        <v>0</v>
      </c>
      <c r="G99" s="869">
        <v>0</v>
      </c>
      <c r="H99" s="869">
        <v>0</v>
      </c>
      <c r="I99" s="869">
        <v>0</v>
      </c>
      <c r="J99" s="869">
        <v>0</v>
      </c>
      <c r="K99" s="869">
        <v>0</v>
      </c>
      <c r="L99" s="896" t="s">
        <v>1402</v>
      </c>
    </row>
    <row r="100" s="892" customFormat="1" ht="14.25" customHeight="1" spans="1:12">
      <c r="A100" s="852">
        <v>98</v>
      </c>
      <c r="B100" s="853" t="s">
        <v>1402</v>
      </c>
      <c r="C100" s="853" t="s">
        <v>1403</v>
      </c>
      <c r="D100" s="895" t="s">
        <v>1192</v>
      </c>
      <c r="E100" s="869">
        <v>0</v>
      </c>
      <c r="F100" s="869">
        <v>0</v>
      </c>
      <c r="G100" s="869">
        <v>0</v>
      </c>
      <c r="H100" s="869">
        <v>0</v>
      </c>
      <c r="I100" s="869">
        <v>0</v>
      </c>
      <c r="J100" s="869">
        <v>0</v>
      </c>
      <c r="K100" s="869">
        <v>0</v>
      </c>
      <c r="L100" s="896" t="s">
        <v>1402</v>
      </c>
    </row>
    <row r="101" s="892" customFormat="1" ht="14.25" customHeight="1" spans="1:12">
      <c r="A101" s="852">
        <v>99</v>
      </c>
      <c r="B101" s="853" t="s">
        <v>546</v>
      </c>
      <c r="C101" s="853" t="s">
        <v>1401</v>
      </c>
      <c r="D101" s="873" t="s">
        <v>1197</v>
      </c>
      <c r="E101" s="869">
        <v>550.921947012244</v>
      </c>
      <c r="F101" s="869">
        <v>0</v>
      </c>
      <c r="G101" s="869">
        <v>0</v>
      </c>
      <c r="H101" s="869">
        <v>0</v>
      </c>
      <c r="I101" s="869">
        <v>0</v>
      </c>
      <c r="J101" s="869">
        <v>0</v>
      </c>
      <c r="K101" s="869">
        <v>550.921947012244</v>
      </c>
      <c r="L101" s="896" t="s">
        <v>501</v>
      </c>
    </row>
    <row r="102" s="892" customFormat="1" ht="14.25" customHeight="1" spans="1:12">
      <c r="A102" s="852">
        <v>100</v>
      </c>
      <c r="B102" s="853" t="s">
        <v>546</v>
      </c>
      <c r="C102" s="853" t="s">
        <v>1401</v>
      </c>
      <c r="D102" s="873" t="s">
        <v>1204</v>
      </c>
      <c r="E102" s="869">
        <v>318.954811428141</v>
      </c>
      <c r="F102" s="869">
        <v>0</v>
      </c>
      <c r="G102" s="869">
        <v>0</v>
      </c>
      <c r="H102" s="869">
        <v>0</v>
      </c>
      <c r="I102" s="869">
        <v>0</v>
      </c>
      <c r="J102" s="869">
        <v>0</v>
      </c>
      <c r="K102" s="869">
        <v>318.954811428141</v>
      </c>
      <c r="L102" s="896" t="s">
        <v>1404</v>
      </c>
    </row>
    <row r="103" s="892" customFormat="1" ht="14.25" customHeight="1" spans="1:12">
      <c r="A103" s="852">
        <v>101</v>
      </c>
      <c r="B103" s="853" t="s">
        <v>546</v>
      </c>
      <c r="C103" s="853" t="s">
        <v>1401</v>
      </c>
      <c r="D103" s="873" t="s">
        <v>492</v>
      </c>
      <c r="E103" s="869">
        <v>6216.27780193206</v>
      </c>
      <c r="F103" s="869">
        <v>0</v>
      </c>
      <c r="G103" s="869">
        <v>0</v>
      </c>
      <c r="H103" s="869">
        <v>0</v>
      </c>
      <c r="I103" s="869">
        <v>0</v>
      </c>
      <c r="J103" s="869">
        <v>0</v>
      </c>
      <c r="K103" s="869">
        <v>6216.27780193206</v>
      </c>
      <c r="L103" s="896" t="s">
        <v>1342</v>
      </c>
    </row>
    <row r="104" s="892" customFormat="1" ht="17.1" customHeight="1" spans="1:12">
      <c r="A104" s="852">
        <v>102</v>
      </c>
      <c r="B104" s="853" t="s">
        <v>1345</v>
      </c>
      <c r="C104" s="853" t="s">
        <v>1349</v>
      </c>
      <c r="D104" s="873" t="s">
        <v>1405</v>
      </c>
      <c r="E104" s="869">
        <v>0</v>
      </c>
      <c r="F104" s="869">
        <v>0</v>
      </c>
      <c r="G104" s="869">
        <v>0</v>
      </c>
      <c r="H104" s="869">
        <v>0</v>
      </c>
      <c r="I104" s="869">
        <v>0</v>
      </c>
      <c r="J104" s="869">
        <v>0</v>
      </c>
      <c r="K104" s="869">
        <v>0</v>
      </c>
      <c r="L104" s="896" t="s">
        <v>1347</v>
      </c>
    </row>
    <row r="105" s="892" customFormat="1" ht="14.25" customHeight="1" spans="1:12">
      <c r="A105" s="852">
        <v>103</v>
      </c>
      <c r="B105" s="853" t="s">
        <v>1345</v>
      </c>
      <c r="C105" s="858" t="s">
        <v>1346</v>
      </c>
      <c r="D105" s="873" t="s">
        <v>1406</v>
      </c>
      <c r="E105" s="869">
        <v>0</v>
      </c>
      <c r="F105" s="869">
        <v>0</v>
      </c>
      <c r="G105" s="869">
        <v>0</v>
      </c>
      <c r="H105" s="869">
        <v>0</v>
      </c>
      <c r="I105" s="869">
        <v>0</v>
      </c>
      <c r="J105" s="869">
        <v>284.241129745938</v>
      </c>
      <c r="K105" s="869">
        <v>284.241129745938</v>
      </c>
      <c r="L105" s="896" t="s">
        <v>1347</v>
      </c>
    </row>
    <row r="106" s="892" customFormat="1" ht="15.75" customHeight="1" spans="1:12">
      <c r="A106" s="872"/>
      <c r="B106" s="880" t="s">
        <v>2</v>
      </c>
      <c r="C106" s="881"/>
      <c r="D106" s="882"/>
      <c r="E106" s="883">
        <v>96357.847254575</v>
      </c>
      <c r="F106" s="883">
        <v>57847.5210904</v>
      </c>
      <c r="G106" s="883">
        <v>5016.94117034615</v>
      </c>
      <c r="H106" s="883">
        <v>0</v>
      </c>
      <c r="I106" s="883">
        <v>785.735543384615</v>
      </c>
      <c r="J106" s="883">
        <v>8681.79770633011</v>
      </c>
      <c r="K106" s="883">
        <v>168689.842765036</v>
      </c>
      <c r="L106" s="902"/>
    </row>
    <row r="107" spans="10:12">
      <c r="J107" s="888"/>
      <c r="K107" s="903"/>
      <c r="L107" s="888"/>
    </row>
    <row r="108" spans="4:12">
      <c r="D108" s="899" t="s">
        <v>1407</v>
      </c>
      <c r="E108" s="900">
        <v>2153.00144623951</v>
      </c>
      <c r="F108" s="900">
        <v>-139.860000000008</v>
      </c>
      <c r="G108" s="900"/>
      <c r="H108" s="900"/>
      <c r="I108" s="900">
        <v>-2.99699999999996</v>
      </c>
      <c r="J108" s="900">
        <v>0</v>
      </c>
      <c r="K108" s="904">
        <v>2010.1444462395</v>
      </c>
      <c r="L108" s="888"/>
    </row>
    <row r="109" spans="10:12">
      <c r="J109" s="888"/>
      <c r="K109" s="903"/>
      <c r="L109" s="888"/>
    </row>
    <row r="110" ht="15" customHeight="1" spans="4:12">
      <c r="D110" s="901" t="s">
        <v>1408</v>
      </c>
      <c r="J110" s="888"/>
      <c r="K110" s="905"/>
      <c r="L110" s="888"/>
    </row>
    <row r="111" spans="4:12">
      <c r="D111" s="444" t="s">
        <v>1409</v>
      </c>
      <c r="J111" s="888"/>
      <c r="K111" s="906"/>
      <c r="L111" s="888"/>
    </row>
    <row r="112" spans="4:12">
      <c r="D112" s="444" t="s">
        <v>1410</v>
      </c>
      <c r="J112" s="888"/>
      <c r="K112" s="905"/>
      <c r="L112" s="888"/>
    </row>
    <row r="113" spans="10:12">
      <c r="J113" s="888"/>
      <c r="K113" s="888"/>
      <c r="L113" s="888"/>
    </row>
    <row r="114" spans="10:12">
      <c r="J114" s="888"/>
      <c r="K114" s="888"/>
      <c r="L114" s="888"/>
    </row>
  </sheetData>
  <autoFilter ref="A2:L106"/>
  <mergeCells count="2">
    <mergeCell ref="A1:L1"/>
    <mergeCell ref="B106:D106"/>
  </mergeCells>
  <conditionalFormatting sqref="D21">
    <cfRule type="duplicateValues" dxfId="76" priority="5"/>
  </conditionalFormatting>
  <conditionalFormatting sqref="D88">
    <cfRule type="duplicateValues" dxfId="77" priority="1"/>
  </conditionalFormatting>
  <conditionalFormatting sqref="D23:D25">
    <cfRule type="duplicateValues" dxfId="78" priority="4"/>
  </conditionalFormatting>
  <conditionalFormatting sqref="D84:D85">
    <cfRule type="duplicateValues" dxfId="79" priority="3"/>
  </conditionalFormatting>
  <conditionalFormatting sqref="D86:D87">
    <cfRule type="duplicateValues" dxfId="80" priority="2"/>
  </conditionalFormatting>
  <pageMargins left="0.699305555555556" right="0.699305555555556" top="0.75" bottom="0.75" header="0.3" footer="0.3"/>
  <pageSetup paperSize="9"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A1:DQ109"/>
  <sheetViews>
    <sheetView showGridLines="0" workbookViewId="0">
      <pane xSplit="6" ySplit="2" topLeftCell="G3" activePane="bottomRight" state="frozen"/>
      <selection/>
      <selection pane="topRight"/>
      <selection pane="bottomLeft"/>
      <selection pane="bottomRight" activeCell="A1" sqref="A1:A2"/>
    </sheetView>
  </sheetViews>
  <sheetFormatPr defaultColWidth="9" defaultRowHeight="12.75"/>
  <cols>
    <col min="1" max="1" width="6.5" style="847" customWidth="1"/>
    <col min="2" max="3" width="10.6" style="848" customWidth="1"/>
    <col min="4" max="4" width="26.9" style="848" customWidth="1"/>
    <col min="5" max="5" width="11.4" style="848" customWidth="1"/>
    <col min="6" max="6" width="9.6" style="848" customWidth="1"/>
    <col min="7" max="7" width="8" style="862" customWidth="1"/>
    <col min="8" max="8" width="11.6" style="863" customWidth="1"/>
    <col min="9" max="9" width="9" style="862"/>
    <col min="10" max="73" width="9" style="863"/>
    <col min="74" max="74" width="8.9" style="863" customWidth="1"/>
    <col min="75" max="75" width="9" style="863"/>
    <col min="76" max="76" width="8.9" style="863" customWidth="1"/>
    <col min="77" max="94" width="9" style="863"/>
    <col min="95" max="95" width="9.1" style="863" customWidth="1"/>
    <col min="96" max="96" width="7.9" style="863" customWidth="1"/>
    <col min="97" max="16177" width="9" style="863"/>
    <col min="16178" max="16384" width="9" style="863" hidden="1" customWidth="1"/>
  </cols>
  <sheetData>
    <row r="1" ht="15.6" customHeight="1" spans="1:121">
      <c r="A1" s="864" t="s">
        <v>21</v>
      </c>
      <c r="B1" s="864" t="s">
        <v>1334</v>
      </c>
      <c r="C1" s="864" t="s">
        <v>1335</v>
      </c>
      <c r="D1" s="864" t="s">
        <v>605</v>
      </c>
      <c r="E1" s="466" t="s">
        <v>1411</v>
      </c>
      <c r="F1" s="466" t="s">
        <v>1412</v>
      </c>
      <c r="G1" s="865" t="s">
        <v>1413</v>
      </c>
      <c r="H1" s="865"/>
      <c r="I1" s="865"/>
      <c r="J1" s="865"/>
      <c r="K1" s="865"/>
      <c r="L1" s="865"/>
      <c r="M1" s="865" t="s">
        <v>1414</v>
      </c>
      <c r="N1" s="865"/>
      <c r="O1" s="865"/>
      <c r="P1" s="865"/>
      <c r="Q1" s="865"/>
      <c r="R1" s="865"/>
      <c r="S1" s="865" t="s">
        <v>1415</v>
      </c>
      <c r="T1" s="865"/>
      <c r="U1" s="865"/>
      <c r="V1" s="865"/>
      <c r="W1" s="865"/>
      <c r="X1" s="865"/>
      <c r="Y1" s="865" t="s">
        <v>1416</v>
      </c>
      <c r="Z1" s="865"/>
      <c r="AA1" s="865"/>
      <c r="AB1" s="865"/>
      <c r="AC1" s="865"/>
      <c r="AD1" s="865"/>
      <c r="AE1" s="865" t="s">
        <v>1417</v>
      </c>
      <c r="AF1" s="865"/>
      <c r="AG1" s="865"/>
      <c r="AH1" s="865"/>
      <c r="AI1" s="865"/>
      <c r="AJ1" s="865"/>
      <c r="AK1" s="865" t="s">
        <v>1418</v>
      </c>
      <c r="AL1" s="865"/>
      <c r="AM1" s="865"/>
      <c r="AN1" s="865"/>
      <c r="AO1" s="865"/>
      <c r="AP1" s="865"/>
      <c r="AQ1" s="865" t="s">
        <v>1419</v>
      </c>
      <c r="AR1" s="865"/>
      <c r="AS1" s="865"/>
      <c r="AT1" s="865"/>
      <c r="AU1" s="865"/>
      <c r="AV1" s="865"/>
      <c r="AW1" s="865" t="s">
        <v>1420</v>
      </c>
      <c r="AX1" s="865"/>
      <c r="AY1" s="865"/>
      <c r="AZ1" s="865"/>
      <c r="BA1" s="865"/>
      <c r="BB1" s="865"/>
      <c r="BC1" s="865" t="s">
        <v>1421</v>
      </c>
      <c r="BD1" s="865"/>
      <c r="BE1" s="865"/>
      <c r="BF1" s="865"/>
      <c r="BG1" s="865"/>
      <c r="BH1" s="865"/>
      <c r="BI1" s="865" t="s">
        <v>1422</v>
      </c>
      <c r="BJ1" s="865"/>
      <c r="BK1" s="865"/>
      <c r="BL1" s="865"/>
      <c r="BM1" s="865"/>
      <c r="BN1" s="865"/>
      <c r="BO1" s="865" t="s">
        <v>1423</v>
      </c>
      <c r="BP1" s="865"/>
      <c r="BQ1" s="865"/>
      <c r="BR1" s="865"/>
      <c r="BS1" s="865"/>
      <c r="BT1" s="865"/>
      <c r="BU1" s="865" t="s">
        <v>1424</v>
      </c>
      <c r="BV1" s="865"/>
      <c r="BW1" s="865"/>
      <c r="BX1" s="865"/>
      <c r="BY1" s="865"/>
      <c r="BZ1" s="865"/>
      <c r="CA1" s="865" t="s">
        <v>1425</v>
      </c>
      <c r="CB1" s="865"/>
      <c r="CC1" s="865"/>
      <c r="CD1" s="865"/>
      <c r="CE1" s="865"/>
      <c r="CF1" s="865"/>
      <c r="CG1" s="865" t="s">
        <v>1426</v>
      </c>
      <c r="CH1" s="865"/>
      <c r="CI1" s="865"/>
      <c r="CJ1" s="865"/>
      <c r="CK1" s="865"/>
      <c r="CL1" s="865"/>
      <c r="CM1" s="865" t="s">
        <v>1427</v>
      </c>
      <c r="CN1" s="865"/>
      <c r="CO1" s="865"/>
      <c r="CP1" s="865"/>
      <c r="CQ1" s="865"/>
      <c r="CR1" s="865"/>
      <c r="CS1" s="865" t="s">
        <v>1428</v>
      </c>
      <c r="CT1" s="865"/>
      <c r="CU1" s="865"/>
      <c r="CV1" s="865"/>
      <c r="CW1" s="865"/>
      <c r="CX1" s="865"/>
      <c r="CY1" s="865" t="s">
        <v>473</v>
      </c>
      <c r="CZ1" s="865"/>
      <c r="DA1" s="865"/>
      <c r="DB1" s="865"/>
      <c r="DC1" s="865"/>
      <c r="DD1" s="865"/>
      <c r="DE1" s="865" t="s">
        <v>1429</v>
      </c>
      <c r="DF1" s="865"/>
      <c r="DG1" s="865"/>
      <c r="DH1" s="865"/>
      <c r="DI1" s="865"/>
      <c r="DJ1" s="865"/>
      <c r="DK1" s="865" t="s">
        <v>1430</v>
      </c>
      <c r="DL1" s="865"/>
      <c r="DM1" s="865"/>
      <c r="DN1" s="865"/>
      <c r="DO1" s="865"/>
      <c r="DP1" s="865"/>
      <c r="DQ1" s="876" t="s">
        <v>1431</v>
      </c>
    </row>
    <row r="2" ht="39" customHeight="1" spans="1:121">
      <c r="A2" s="866"/>
      <c r="B2" s="866"/>
      <c r="C2" s="866"/>
      <c r="D2" s="866"/>
      <c r="E2" s="466"/>
      <c r="F2" s="466"/>
      <c r="G2" s="867" t="s">
        <v>1432</v>
      </c>
      <c r="H2" s="868" t="s">
        <v>1433</v>
      </c>
      <c r="I2" s="867" t="s">
        <v>1434</v>
      </c>
      <c r="J2" s="868" t="s">
        <v>1435</v>
      </c>
      <c r="K2" s="868" t="s">
        <v>1436</v>
      </c>
      <c r="L2" s="868" t="s">
        <v>1437</v>
      </c>
      <c r="M2" s="868" t="s">
        <v>1432</v>
      </c>
      <c r="N2" s="868" t="s">
        <v>1433</v>
      </c>
      <c r="O2" s="868" t="s">
        <v>1434</v>
      </c>
      <c r="P2" s="868" t="s">
        <v>1435</v>
      </c>
      <c r="Q2" s="868" t="s">
        <v>1438</v>
      </c>
      <c r="R2" s="868" t="s">
        <v>1439</v>
      </c>
      <c r="S2" s="868" t="s">
        <v>1432</v>
      </c>
      <c r="T2" s="868" t="s">
        <v>1433</v>
      </c>
      <c r="U2" s="868" t="s">
        <v>1434</v>
      </c>
      <c r="V2" s="868" t="s">
        <v>1435</v>
      </c>
      <c r="W2" s="868" t="s">
        <v>1438</v>
      </c>
      <c r="X2" s="868" t="s">
        <v>1439</v>
      </c>
      <c r="Y2" s="868" t="s">
        <v>1432</v>
      </c>
      <c r="Z2" s="868" t="s">
        <v>1433</v>
      </c>
      <c r="AA2" s="868" t="s">
        <v>1434</v>
      </c>
      <c r="AB2" s="868" t="s">
        <v>1435</v>
      </c>
      <c r="AC2" s="868" t="s">
        <v>1438</v>
      </c>
      <c r="AD2" s="868" t="s">
        <v>1439</v>
      </c>
      <c r="AE2" s="868" t="s">
        <v>1432</v>
      </c>
      <c r="AF2" s="868" t="s">
        <v>1433</v>
      </c>
      <c r="AG2" s="868" t="s">
        <v>1434</v>
      </c>
      <c r="AH2" s="868" t="s">
        <v>1435</v>
      </c>
      <c r="AI2" s="868" t="s">
        <v>1438</v>
      </c>
      <c r="AJ2" s="868" t="s">
        <v>1439</v>
      </c>
      <c r="AK2" s="868" t="s">
        <v>1432</v>
      </c>
      <c r="AL2" s="868" t="s">
        <v>1433</v>
      </c>
      <c r="AM2" s="868" t="s">
        <v>1434</v>
      </c>
      <c r="AN2" s="868" t="s">
        <v>1435</v>
      </c>
      <c r="AO2" s="868" t="s">
        <v>1438</v>
      </c>
      <c r="AP2" s="868" t="s">
        <v>1439</v>
      </c>
      <c r="AQ2" s="868" t="s">
        <v>1432</v>
      </c>
      <c r="AR2" s="868" t="s">
        <v>1433</v>
      </c>
      <c r="AS2" s="868" t="s">
        <v>1434</v>
      </c>
      <c r="AT2" s="868" t="s">
        <v>1435</v>
      </c>
      <c r="AU2" s="868" t="s">
        <v>1438</v>
      </c>
      <c r="AV2" s="868" t="s">
        <v>1439</v>
      </c>
      <c r="AW2" s="868" t="s">
        <v>1432</v>
      </c>
      <c r="AX2" s="868" t="s">
        <v>1433</v>
      </c>
      <c r="AY2" s="868" t="s">
        <v>1434</v>
      </c>
      <c r="AZ2" s="868" t="s">
        <v>1435</v>
      </c>
      <c r="BA2" s="868" t="s">
        <v>1438</v>
      </c>
      <c r="BB2" s="868" t="s">
        <v>1439</v>
      </c>
      <c r="BC2" s="868" t="s">
        <v>1432</v>
      </c>
      <c r="BD2" s="868" t="s">
        <v>1433</v>
      </c>
      <c r="BE2" s="868" t="s">
        <v>1434</v>
      </c>
      <c r="BF2" s="868" t="s">
        <v>1435</v>
      </c>
      <c r="BG2" s="868" t="s">
        <v>1438</v>
      </c>
      <c r="BH2" s="868" t="s">
        <v>1439</v>
      </c>
      <c r="BI2" s="868" t="s">
        <v>1432</v>
      </c>
      <c r="BJ2" s="868" t="s">
        <v>1433</v>
      </c>
      <c r="BK2" s="868" t="s">
        <v>1434</v>
      </c>
      <c r="BL2" s="868" t="s">
        <v>1435</v>
      </c>
      <c r="BM2" s="868" t="s">
        <v>1438</v>
      </c>
      <c r="BN2" s="868" t="s">
        <v>1439</v>
      </c>
      <c r="BO2" s="868" t="s">
        <v>1432</v>
      </c>
      <c r="BP2" s="868" t="s">
        <v>1433</v>
      </c>
      <c r="BQ2" s="868" t="s">
        <v>1434</v>
      </c>
      <c r="BR2" s="868" t="s">
        <v>1435</v>
      </c>
      <c r="BS2" s="868" t="s">
        <v>1438</v>
      </c>
      <c r="BT2" s="868" t="s">
        <v>1439</v>
      </c>
      <c r="BU2" s="868" t="s">
        <v>1432</v>
      </c>
      <c r="BV2" s="868" t="s">
        <v>1433</v>
      </c>
      <c r="BW2" s="868" t="s">
        <v>1434</v>
      </c>
      <c r="BX2" s="868" t="s">
        <v>1435</v>
      </c>
      <c r="BY2" s="868" t="s">
        <v>1438</v>
      </c>
      <c r="BZ2" s="868" t="s">
        <v>1439</v>
      </c>
      <c r="CA2" s="868" t="s">
        <v>1432</v>
      </c>
      <c r="CB2" s="868" t="s">
        <v>1433</v>
      </c>
      <c r="CC2" s="868" t="s">
        <v>1434</v>
      </c>
      <c r="CD2" s="868" t="s">
        <v>1435</v>
      </c>
      <c r="CE2" s="868" t="s">
        <v>1438</v>
      </c>
      <c r="CF2" s="868" t="s">
        <v>1439</v>
      </c>
      <c r="CG2" s="868" t="s">
        <v>1432</v>
      </c>
      <c r="CH2" s="868" t="s">
        <v>1433</v>
      </c>
      <c r="CI2" s="868" t="s">
        <v>1434</v>
      </c>
      <c r="CJ2" s="868" t="s">
        <v>1435</v>
      </c>
      <c r="CK2" s="868" t="s">
        <v>1438</v>
      </c>
      <c r="CL2" s="868" t="s">
        <v>1439</v>
      </c>
      <c r="CM2" s="868" t="s">
        <v>1432</v>
      </c>
      <c r="CN2" s="868" t="s">
        <v>1433</v>
      </c>
      <c r="CO2" s="868" t="s">
        <v>1434</v>
      </c>
      <c r="CP2" s="868" t="s">
        <v>1435</v>
      </c>
      <c r="CQ2" s="868" t="s">
        <v>1438</v>
      </c>
      <c r="CR2" s="868" t="s">
        <v>1439</v>
      </c>
      <c r="CS2" s="868" t="s">
        <v>1432</v>
      </c>
      <c r="CT2" s="868" t="s">
        <v>1433</v>
      </c>
      <c r="CU2" s="868" t="s">
        <v>1434</v>
      </c>
      <c r="CV2" s="868" t="s">
        <v>1435</v>
      </c>
      <c r="CW2" s="868" t="s">
        <v>1438</v>
      </c>
      <c r="CX2" s="868" t="s">
        <v>1439</v>
      </c>
      <c r="CY2" s="868" t="s">
        <v>1432</v>
      </c>
      <c r="CZ2" s="868" t="s">
        <v>1433</v>
      </c>
      <c r="DA2" s="868" t="s">
        <v>1434</v>
      </c>
      <c r="DB2" s="868" t="s">
        <v>1435</v>
      </c>
      <c r="DC2" s="868" t="s">
        <v>1438</v>
      </c>
      <c r="DD2" s="868" t="s">
        <v>1439</v>
      </c>
      <c r="DE2" s="868" t="s">
        <v>1432</v>
      </c>
      <c r="DF2" s="868" t="s">
        <v>1433</v>
      </c>
      <c r="DG2" s="868" t="s">
        <v>1434</v>
      </c>
      <c r="DH2" s="868" t="s">
        <v>1435</v>
      </c>
      <c r="DI2" s="868" t="s">
        <v>1438</v>
      </c>
      <c r="DJ2" s="868" t="s">
        <v>1439</v>
      </c>
      <c r="DK2" s="868" t="s">
        <v>1432</v>
      </c>
      <c r="DL2" s="868" t="s">
        <v>1433</v>
      </c>
      <c r="DM2" s="868" t="s">
        <v>1434</v>
      </c>
      <c r="DN2" s="868" t="s">
        <v>1435</v>
      </c>
      <c r="DO2" s="868" t="s">
        <v>1438</v>
      </c>
      <c r="DP2" s="868" t="s">
        <v>1439</v>
      </c>
      <c r="DQ2" s="877"/>
    </row>
    <row r="3" s="861" customFormat="1" ht="14.25" customHeight="1" spans="1:121">
      <c r="A3" s="852">
        <v>1</v>
      </c>
      <c r="B3" s="853" t="s">
        <v>440</v>
      </c>
      <c r="C3" s="853" t="s">
        <v>1341</v>
      </c>
      <c r="D3" s="853" t="s">
        <v>1302</v>
      </c>
      <c r="E3" s="869">
        <v>43502.9387428572</v>
      </c>
      <c r="F3" s="870">
        <v>0.11</v>
      </c>
      <c r="G3" s="871">
        <v>0</v>
      </c>
      <c r="H3" s="858" t="s">
        <v>1440</v>
      </c>
      <c r="I3" s="875">
        <v>1</v>
      </c>
      <c r="J3" s="858">
        <v>43502.9387428572</v>
      </c>
      <c r="K3" s="872">
        <v>39191.8367052767</v>
      </c>
      <c r="L3" s="872">
        <v>4311.10203758044</v>
      </c>
      <c r="M3" s="871">
        <v>1</v>
      </c>
      <c r="N3" s="858"/>
      <c r="O3" s="875">
        <v>0</v>
      </c>
      <c r="P3" s="858">
        <v>0</v>
      </c>
      <c r="Q3" s="872">
        <v>0</v>
      </c>
      <c r="R3" s="872">
        <v>0</v>
      </c>
      <c r="S3" s="871">
        <v>1</v>
      </c>
      <c r="T3" s="858"/>
      <c r="U3" s="875">
        <v>0</v>
      </c>
      <c r="V3" s="858">
        <v>0</v>
      </c>
      <c r="W3" s="872">
        <v>0</v>
      </c>
      <c r="X3" s="872">
        <v>0</v>
      </c>
      <c r="Y3" s="871">
        <v>1</v>
      </c>
      <c r="Z3" s="858"/>
      <c r="AA3" s="875">
        <v>0</v>
      </c>
      <c r="AB3" s="858">
        <v>0</v>
      </c>
      <c r="AC3" s="872">
        <v>0</v>
      </c>
      <c r="AD3" s="872">
        <v>0</v>
      </c>
      <c r="AE3" s="871">
        <v>1</v>
      </c>
      <c r="AF3" s="858"/>
      <c r="AG3" s="875">
        <v>0</v>
      </c>
      <c r="AH3" s="858">
        <v>0</v>
      </c>
      <c r="AI3" s="872">
        <v>0</v>
      </c>
      <c r="AJ3" s="872">
        <v>0</v>
      </c>
      <c r="AK3" s="871">
        <v>1</v>
      </c>
      <c r="AL3" s="858"/>
      <c r="AM3" s="875">
        <v>0</v>
      </c>
      <c r="AN3" s="858">
        <v>0</v>
      </c>
      <c r="AO3" s="872">
        <v>0</v>
      </c>
      <c r="AP3" s="872">
        <v>0</v>
      </c>
      <c r="AQ3" s="871">
        <v>1</v>
      </c>
      <c r="AR3" s="858"/>
      <c r="AS3" s="875">
        <v>0</v>
      </c>
      <c r="AT3" s="858">
        <v>0</v>
      </c>
      <c r="AU3" s="872">
        <v>0</v>
      </c>
      <c r="AV3" s="872">
        <v>0</v>
      </c>
      <c r="AW3" s="871">
        <v>1</v>
      </c>
      <c r="AX3" s="858"/>
      <c r="AY3" s="875">
        <v>0</v>
      </c>
      <c r="AZ3" s="858">
        <v>0</v>
      </c>
      <c r="BA3" s="872">
        <v>0</v>
      </c>
      <c r="BB3" s="872">
        <v>0</v>
      </c>
      <c r="BC3" s="871">
        <v>1</v>
      </c>
      <c r="BD3" s="858"/>
      <c r="BE3" s="875">
        <v>0</v>
      </c>
      <c r="BF3" s="858">
        <v>0</v>
      </c>
      <c r="BG3" s="872">
        <v>0</v>
      </c>
      <c r="BH3" s="872">
        <v>0</v>
      </c>
      <c r="BI3" s="871">
        <v>1</v>
      </c>
      <c r="BJ3" s="858"/>
      <c r="BK3" s="875">
        <v>0</v>
      </c>
      <c r="BL3" s="858">
        <v>0</v>
      </c>
      <c r="BM3" s="872">
        <v>0</v>
      </c>
      <c r="BN3" s="872">
        <v>0</v>
      </c>
      <c r="BO3" s="871">
        <v>1</v>
      </c>
      <c r="BP3" s="858"/>
      <c r="BQ3" s="875">
        <v>0</v>
      </c>
      <c r="BR3" s="858">
        <v>0</v>
      </c>
      <c r="BS3" s="872">
        <v>0</v>
      </c>
      <c r="BT3" s="872">
        <v>0</v>
      </c>
      <c r="BU3" s="871">
        <v>1</v>
      </c>
      <c r="BV3" s="858"/>
      <c r="BW3" s="875">
        <v>0</v>
      </c>
      <c r="BX3" s="858">
        <v>0</v>
      </c>
      <c r="BY3" s="872">
        <v>0</v>
      </c>
      <c r="BZ3" s="872">
        <v>0</v>
      </c>
      <c r="CA3" s="871">
        <v>1</v>
      </c>
      <c r="CB3" s="858"/>
      <c r="CC3" s="875">
        <v>0</v>
      </c>
      <c r="CD3" s="858">
        <v>0</v>
      </c>
      <c r="CE3" s="872">
        <v>0</v>
      </c>
      <c r="CF3" s="872">
        <v>0</v>
      </c>
      <c r="CG3" s="871">
        <v>1</v>
      </c>
      <c r="CH3" s="858"/>
      <c r="CI3" s="875">
        <v>0</v>
      </c>
      <c r="CJ3" s="858">
        <v>0</v>
      </c>
      <c r="CK3" s="872">
        <v>0</v>
      </c>
      <c r="CL3" s="872">
        <v>0</v>
      </c>
      <c r="CM3" s="871">
        <v>1</v>
      </c>
      <c r="CN3" s="858"/>
      <c r="CO3" s="875">
        <v>0</v>
      </c>
      <c r="CP3" s="858">
        <v>0</v>
      </c>
      <c r="CQ3" s="872">
        <v>0</v>
      </c>
      <c r="CR3" s="872">
        <v>0</v>
      </c>
      <c r="CS3" s="871">
        <v>1</v>
      </c>
      <c r="CT3" s="858"/>
      <c r="CU3" s="875">
        <v>0</v>
      </c>
      <c r="CV3" s="858">
        <v>0</v>
      </c>
      <c r="CW3" s="872">
        <v>0</v>
      </c>
      <c r="CX3" s="872">
        <v>0</v>
      </c>
      <c r="CY3" s="871">
        <v>1</v>
      </c>
      <c r="CZ3" s="858"/>
      <c r="DA3" s="875">
        <v>0</v>
      </c>
      <c r="DB3" s="858">
        <v>0</v>
      </c>
      <c r="DC3" s="872">
        <v>0</v>
      </c>
      <c r="DD3" s="872">
        <v>0</v>
      </c>
      <c r="DE3" s="871">
        <v>1</v>
      </c>
      <c r="DF3" s="858"/>
      <c r="DG3" s="875">
        <v>0</v>
      </c>
      <c r="DH3" s="858">
        <v>0</v>
      </c>
      <c r="DI3" s="872">
        <v>0</v>
      </c>
      <c r="DJ3" s="872">
        <v>0</v>
      </c>
      <c r="DK3" s="871">
        <v>1</v>
      </c>
      <c r="DL3" s="858"/>
      <c r="DM3" s="875">
        <v>0</v>
      </c>
      <c r="DN3" s="858">
        <v>0</v>
      </c>
      <c r="DO3" s="872">
        <v>0</v>
      </c>
      <c r="DP3" s="872">
        <v>0</v>
      </c>
      <c r="DQ3" s="872">
        <v>0</v>
      </c>
    </row>
    <row r="4" s="861" customFormat="1" ht="14.25" customHeight="1" spans="1:121">
      <c r="A4" s="852">
        <v>2</v>
      </c>
      <c r="B4" s="853" t="s">
        <v>440</v>
      </c>
      <c r="C4" s="853" t="s">
        <v>1341</v>
      </c>
      <c r="D4" s="853" t="s">
        <v>1307</v>
      </c>
      <c r="E4" s="869">
        <v>117.47268</v>
      </c>
      <c r="F4" s="870">
        <v>0</v>
      </c>
      <c r="G4" s="871">
        <v>0</v>
      </c>
      <c r="H4" s="858" t="s">
        <v>1440</v>
      </c>
      <c r="I4" s="875">
        <v>0</v>
      </c>
      <c r="J4" s="858">
        <v>0</v>
      </c>
      <c r="K4" s="872">
        <v>0</v>
      </c>
      <c r="L4" s="872">
        <v>0</v>
      </c>
      <c r="M4" s="874">
        <v>0</v>
      </c>
      <c r="N4" s="872"/>
      <c r="O4" s="871"/>
      <c r="P4" s="858">
        <v>0</v>
      </c>
      <c r="Q4" s="872">
        <v>0</v>
      </c>
      <c r="R4" s="872">
        <v>0</v>
      </c>
      <c r="S4" s="874">
        <v>0</v>
      </c>
      <c r="T4" s="872"/>
      <c r="U4" s="871"/>
      <c r="V4" s="858">
        <v>0</v>
      </c>
      <c r="W4" s="872">
        <v>0</v>
      </c>
      <c r="X4" s="872">
        <v>0</v>
      </c>
      <c r="Y4" s="874">
        <v>0</v>
      </c>
      <c r="Z4" s="872"/>
      <c r="AA4" s="871"/>
      <c r="AB4" s="858">
        <v>0</v>
      </c>
      <c r="AC4" s="872">
        <v>0</v>
      </c>
      <c r="AD4" s="872">
        <v>0</v>
      </c>
      <c r="AE4" s="874">
        <v>0</v>
      </c>
      <c r="AF4" s="872"/>
      <c r="AG4" s="871"/>
      <c r="AH4" s="858">
        <v>0</v>
      </c>
      <c r="AI4" s="872">
        <v>0</v>
      </c>
      <c r="AJ4" s="872">
        <v>0</v>
      </c>
      <c r="AK4" s="874">
        <v>0</v>
      </c>
      <c r="AL4" s="872"/>
      <c r="AM4" s="871"/>
      <c r="AN4" s="858">
        <v>0</v>
      </c>
      <c r="AO4" s="872">
        <v>0</v>
      </c>
      <c r="AP4" s="872">
        <v>0</v>
      </c>
      <c r="AQ4" s="874">
        <v>0</v>
      </c>
      <c r="AR4" s="872"/>
      <c r="AS4" s="872"/>
      <c r="AT4" s="858">
        <v>0</v>
      </c>
      <c r="AU4" s="872">
        <v>0</v>
      </c>
      <c r="AV4" s="872">
        <v>0</v>
      </c>
      <c r="AW4" s="874">
        <v>0</v>
      </c>
      <c r="AX4" s="872"/>
      <c r="AY4" s="872"/>
      <c r="AZ4" s="858">
        <v>0</v>
      </c>
      <c r="BA4" s="872">
        <v>0</v>
      </c>
      <c r="BB4" s="872">
        <v>0</v>
      </c>
      <c r="BC4" s="874">
        <v>0</v>
      </c>
      <c r="BD4" s="872"/>
      <c r="BE4" s="871">
        <v>0.35</v>
      </c>
      <c r="BF4" s="858">
        <v>41.115438</v>
      </c>
      <c r="BG4" s="872">
        <v>41.115438</v>
      </c>
      <c r="BH4" s="872">
        <v>0</v>
      </c>
      <c r="BI4" s="874">
        <v>0.35</v>
      </c>
      <c r="BJ4" s="872"/>
      <c r="BK4" s="871">
        <v>0.35</v>
      </c>
      <c r="BL4" s="858">
        <v>41.115438</v>
      </c>
      <c r="BM4" s="872">
        <v>41.115438</v>
      </c>
      <c r="BN4" s="872">
        <v>0</v>
      </c>
      <c r="BO4" s="874">
        <v>0.7</v>
      </c>
      <c r="BP4" s="872"/>
      <c r="BQ4" s="871"/>
      <c r="BR4" s="858">
        <v>0</v>
      </c>
      <c r="BS4" s="872">
        <v>0</v>
      </c>
      <c r="BT4" s="872">
        <v>0</v>
      </c>
      <c r="BU4" s="874">
        <v>0.7</v>
      </c>
      <c r="BV4" s="872"/>
      <c r="BW4" s="871"/>
      <c r="BX4" s="858">
        <v>0</v>
      </c>
      <c r="BY4" s="872">
        <v>0</v>
      </c>
      <c r="BZ4" s="872">
        <v>0</v>
      </c>
      <c r="CA4" s="874">
        <v>0.7</v>
      </c>
      <c r="CB4" s="872"/>
      <c r="CC4" s="871"/>
      <c r="CD4" s="858">
        <v>0</v>
      </c>
      <c r="CE4" s="872">
        <v>0</v>
      </c>
      <c r="CF4" s="872">
        <v>0</v>
      </c>
      <c r="CG4" s="874">
        <v>0.7</v>
      </c>
      <c r="CH4" s="872"/>
      <c r="CI4" s="872"/>
      <c r="CJ4" s="858">
        <v>0</v>
      </c>
      <c r="CK4" s="872">
        <v>0</v>
      </c>
      <c r="CL4" s="872">
        <v>0</v>
      </c>
      <c r="CM4" s="874">
        <v>0.7</v>
      </c>
      <c r="CN4" s="872"/>
      <c r="CO4" s="872"/>
      <c r="CP4" s="858">
        <v>0</v>
      </c>
      <c r="CQ4" s="872">
        <v>0</v>
      </c>
      <c r="CR4" s="872">
        <v>0</v>
      </c>
      <c r="CS4" s="874">
        <v>0.7</v>
      </c>
      <c r="CT4" s="872"/>
      <c r="CU4" s="871"/>
      <c r="CV4" s="858">
        <v>0</v>
      </c>
      <c r="CW4" s="872">
        <v>0</v>
      </c>
      <c r="CX4" s="872">
        <v>0</v>
      </c>
      <c r="CY4" s="874">
        <v>0.7</v>
      </c>
      <c r="CZ4" s="872"/>
      <c r="DA4" s="871">
        <v>0.3</v>
      </c>
      <c r="DB4" s="858">
        <v>35.241804</v>
      </c>
      <c r="DC4" s="872">
        <v>35.241804</v>
      </c>
      <c r="DD4" s="872">
        <v>0</v>
      </c>
      <c r="DE4" s="874">
        <v>1</v>
      </c>
      <c r="DF4" s="872"/>
      <c r="DG4" s="871"/>
      <c r="DH4" s="858">
        <v>0</v>
      </c>
      <c r="DI4" s="872">
        <v>0</v>
      </c>
      <c r="DJ4" s="872">
        <v>0</v>
      </c>
      <c r="DK4" s="874">
        <v>1</v>
      </c>
      <c r="DL4" s="872"/>
      <c r="DM4" s="871"/>
      <c r="DN4" s="858">
        <v>0</v>
      </c>
      <c r="DO4" s="872">
        <v>0</v>
      </c>
      <c r="DP4" s="872">
        <v>0</v>
      </c>
      <c r="DQ4" s="872">
        <v>0</v>
      </c>
    </row>
    <row r="5" s="861" customFormat="1" ht="14.25" customHeight="1" spans="1:121">
      <c r="A5" s="852">
        <v>3</v>
      </c>
      <c r="B5" s="853" t="s">
        <v>440</v>
      </c>
      <c r="C5" s="853" t="s">
        <v>1341</v>
      </c>
      <c r="D5" s="853" t="s">
        <v>1313</v>
      </c>
      <c r="E5" s="869">
        <v>0</v>
      </c>
      <c r="F5" s="870">
        <v>0.11</v>
      </c>
      <c r="G5" s="871">
        <v>0</v>
      </c>
      <c r="H5" s="872"/>
      <c r="I5" s="871">
        <v>0</v>
      </c>
      <c r="J5" s="858">
        <v>0</v>
      </c>
      <c r="K5" s="872">
        <v>0</v>
      </c>
      <c r="L5" s="872">
        <v>0</v>
      </c>
      <c r="M5" s="874">
        <v>0</v>
      </c>
      <c r="N5" s="872"/>
      <c r="O5" s="871"/>
      <c r="P5" s="858">
        <v>0</v>
      </c>
      <c r="Q5" s="872">
        <v>0</v>
      </c>
      <c r="R5" s="872">
        <v>0</v>
      </c>
      <c r="S5" s="874">
        <v>0</v>
      </c>
      <c r="T5" s="872"/>
      <c r="U5" s="871"/>
      <c r="V5" s="858">
        <v>0</v>
      </c>
      <c r="W5" s="872">
        <v>0</v>
      </c>
      <c r="X5" s="872">
        <v>0</v>
      </c>
      <c r="Y5" s="874">
        <v>0</v>
      </c>
      <c r="Z5" s="872"/>
      <c r="AA5" s="871"/>
      <c r="AB5" s="858">
        <v>0</v>
      </c>
      <c r="AC5" s="872">
        <v>0</v>
      </c>
      <c r="AD5" s="872">
        <v>0</v>
      </c>
      <c r="AE5" s="874">
        <v>0</v>
      </c>
      <c r="AF5" s="872"/>
      <c r="AG5" s="871"/>
      <c r="AH5" s="858">
        <v>0</v>
      </c>
      <c r="AI5" s="872">
        <v>0</v>
      </c>
      <c r="AJ5" s="872">
        <v>0</v>
      </c>
      <c r="AK5" s="874">
        <v>0</v>
      </c>
      <c r="AL5" s="872"/>
      <c r="AM5" s="871"/>
      <c r="AN5" s="858">
        <v>0</v>
      </c>
      <c r="AO5" s="872">
        <v>0</v>
      </c>
      <c r="AP5" s="872">
        <v>0</v>
      </c>
      <c r="AQ5" s="874">
        <v>0</v>
      </c>
      <c r="AR5" s="872"/>
      <c r="AS5" s="872"/>
      <c r="AT5" s="858">
        <v>0</v>
      </c>
      <c r="AU5" s="872">
        <v>0</v>
      </c>
      <c r="AV5" s="872">
        <v>0</v>
      </c>
      <c r="AW5" s="874">
        <v>0</v>
      </c>
      <c r="AX5" s="872"/>
      <c r="AY5" s="872"/>
      <c r="AZ5" s="858">
        <v>0</v>
      </c>
      <c r="BA5" s="872">
        <v>0</v>
      </c>
      <c r="BB5" s="872">
        <v>0</v>
      </c>
      <c r="BC5" s="874">
        <v>0</v>
      </c>
      <c r="BD5" s="872"/>
      <c r="BE5" s="871"/>
      <c r="BF5" s="858">
        <v>0</v>
      </c>
      <c r="BG5" s="872">
        <v>0</v>
      </c>
      <c r="BH5" s="872">
        <v>0</v>
      </c>
      <c r="BI5" s="874">
        <v>0</v>
      </c>
      <c r="BJ5" s="872"/>
      <c r="BK5" s="871"/>
      <c r="BL5" s="858">
        <v>0</v>
      </c>
      <c r="BM5" s="872">
        <v>0</v>
      </c>
      <c r="BN5" s="872">
        <v>0</v>
      </c>
      <c r="BO5" s="874">
        <v>0</v>
      </c>
      <c r="BP5" s="872"/>
      <c r="BQ5" s="871"/>
      <c r="BR5" s="858">
        <v>0</v>
      </c>
      <c r="BS5" s="872">
        <v>0</v>
      </c>
      <c r="BT5" s="872">
        <v>0</v>
      </c>
      <c r="BU5" s="874">
        <v>0</v>
      </c>
      <c r="BV5" s="872"/>
      <c r="BW5" s="871"/>
      <c r="BX5" s="858">
        <v>0</v>
      </c>
      <c r="BY5" s="872">
        <v>0</v>
      </c>
      <c r="BZ5" s="872">
        <v>0</v>
      </c>
      <c r="CA5" s="874">
        <v>0</v>
      </c>
      <c r="CB5" s="872"/>
      <c r="CC5" s="871"/>
      <c r="CD5" s="858">
        <v>0</v>
      </c>
      <c r="CE5" s="872">
        <v>0</v>
      </c>
      <c r="CF5" s="872">
        <v>0</v>
      </c>
      <c r="CG5" s="874">
        <v>0</v>
      </c>
      <c r="CH5" s="872"/>
      <c r="CI5" s="872"/>
      <c r="CJ5" s="858">
        <v>0</v>
      </c>
      <c r="CK5" s="872">
        <v>0</v>
      </c>
      <c r="CL5" s="872">
        <v>0</v>
      </c>
      <c r="CM5" s="874">
        <v>0</v>
      </c>
      <c r="CN5" s="872"/>
      <c r="CO5" s="872"/>
      <c r="CP5" s="858">
        <v>0</v>
      </c>
      <c r="CQ5" s="872">
        <v>0</v>
      </c>
      <c r="CR5" s="872">
        <v>0</v>
      </c>
      <c r="CS5" s="874">
        <v>0</v>
      </c>
      <c r="CT5" s="872"/>
      <c r="CU5" s="871"/>
      <c r="CV5" s="858">
        <v>0</v>
      </c>
      <c r="CW5" s="872">
        <v>0</v>
      </c>
      <c r="CX5" s="872">
        <v>0</v>
      </c>
      <c r="CY5" s="874">
        <v>0</v>
      </c>
      <c r="CZ5" s="872"/>
      <c r="DA5" s="871"/>
      <c r="DB5" s="858">
        <v>0</v>
      </c>
      <c r="DC5" s="872">
        <v>0</v>
      </c>
      <c r="DD5" s="872">
        <v>0</v>
      </c>
      <c r="DE5" s="874">
        <v>0</v>
      </c>
      <c r="DF5" s="872"/>
      <c r="DG5" s="871"/>
      <c r="DH5" s="858">
        <v>0</v>
      </c>
      <c r="DI5" s="872">
        <v>0</v>
      </c>
      <c r="DJ5" s="872">
        <v>0</v>
      </c>
      <c r="DK5" s="874">
        <v>0</v>
      </c>
      <c r="DL5" s="872"/>
      <c r="DM5" s="871"/>
      <c r="DN5" s="858">
        <v>0</v>
      </c>
      <c r="DO5" s="872">
        <v>0</v>
      </c>
      <c r="DP5" s="872">
        <v>0</v>
      </c>
      <c r="DQ5" s="872">
        <v>0</v>
      </c>
    </row>
    <row r="6" s="861" customFormat="1" ht="14.25" customHeight="1" spans="1:121">
      <c r="A6" s="852">
        <v>4</v>
      </c>
      <c r="B6" s="853" t="s">
        <v>1343</v>
      </c>
      <c r="C6" s="853" t="s">
        <v>1341</v>
      </c>
      <c r="D6" s="853" t="s">
        <v>697</v>
      </c>
      <c r="E6" s="869">
        <v>0</v>
      </c>
      <c r="F6" s="870">
        <v>0</v>
      </c>
      <c r="G6" s="871">
        <v>0</v>
      </c>
      <c r="H6" s="872"/>
      <c r="I6" s="871">
        <v>0</v>
      </c>
      <c r="J6" s="858">
        <v>0</v>
      </c>
      <c r="K6" s="872">
        <v>0</v>
      </c>
      <c r="L6" s="872">
        <v>0</v>
      </c>
      <c r="M6" s="874">
        <v>0</v>
      </c>
      <c r="N6" s="872"/>
      <c r="O6" s="871">
        <v>0</v>
      </c>
      <c r="P6" s="858">
        <v>0</v>
      </c>
      <c r="Q6" s="872">
        <v>0</v>
      </c>
      <c r="R6" s="872">
        <v>0</v>
      </c>
      <c r="S6" s="874">
        <v>0</v>
      </c>
      <c r="T6" s="872"/>
      <c r="U6" s="871">
        <v>0</v>
      </c>
      <c r="V6" s="858">
        <v>0</v>
      </c>
      <c r="W6" s="872">
        <v>0</v>
      </c>
      <c r="X6" s="872">
        <v>0</v>
      </c>
      <c r="Y6" s="874">
        <v>0</v>
      </c>
      <c r="Z6" s="872"/>
      <c r="AA6" s="871">
        <v>0</v>
      </c>
      <c r="AB6" s="858">
        <v>0</v>
      </c>
      <c r="AC6" s="872">
        <v>0</v>
      </c>
      <c r="AD6" s="872">
        <v>0</v>
      </c>
      <c r="AE6" s="874">
        <v>0</v>
      </c>
      <c r="AF6" s="872"/>
      <c r="AG6" s="871">
        <v>0</v>
      </c>
      <c r="AH6" s="858">
        <v>0</v>
      </c>
      <c r="AI6" s="872">
        <v>0</v>
      </c>
      <c r="AJ6" s="872">
        <v>0</v>
      </c>
      <c r="AK6" s="874">
        <v>0</v>
      </c>
      <c r="AL6" s="858" t="s">
        <v>1440</v>
      </c>
      <c r="AM6" s="871">
        <v>1</v>
      </c>
      <c r="AN6" s="858">
        <v>0</v>
      </c>
      <c r="AO6" s="872">
        <v>0</v>
      </c>
      <c r="AP6" s="872">
        <v>0</v>
      </c>
      <c r="AQ6" s="874">
        <v>1</v>
      </c>
      <c r="AR6" s="872"/>
      <c r="AS6" s="872"/>
      <c r="AT6" s="858">
        <v>0</v>
      </c>
      <c r="AU6" s="872">
        <v>0</v>
      </c>
      <c r="AV6" s="872">
        <v>0</v>
      </c>
      <c r="AW6" s="874">
        <v>1</v>
      </c>
      <c r="AX6" s="872"/>
      <c r="AY6" s="872"/>
      <c r="AZ6" s="858">
        <v>0</v>
      </c>
      <c r="BA6" s="872">
        <v>0</v>
      </c>
      <c r="BB6" s="872">
        <v>0</v>
      </c>
      <c r="BC6" s="874">
        <v>1</v>
      </c>
      <c r="BD6" s="872"/>
      <c r="BE6" s="871"/>
      <c r="BF6" s="858">
        <v>0</v>
      </c>
      <c r="BG6" s="872">
        <v>0</v>
      </c>
      <c r="BH6" s="872">
        <v>0</v>
      </c>
      <c r="BI6" s="874">
        <v>1</v>
      </c>
      <c r="BJ6" s="872"/>
      <c r="BK6" s="871"/>
      <c r="BL6" s="858">
        <v>0</v>
      </c>
      <c r="BM6" s="872">
        <v>0</v>
      </c>
      <c r="BN6" s="872">
        <v>0</v>
      </c>
      <c r="BO6" s="874">
        <v>1</v>
      </c>
      <c r="BP6" s="872"/>
      <c r="BQ6" s="871"/>
      <c r="BR6" s="858">
        <v>0</v>
      </c>
      <c r="BS6" s="872">
        <v>0</v>
      </c>
      <c r="BT6" s="872">
        <v>0</v>
      </c>
      <c r="BU6" s="874">
        <v>1</v>
      </c>
      <c r="BV6" s="872"/>
      <c r="BW6" s="871"/>
      <c r="BX6" s="858">
        <v>0</v>
      </c>
      <c r="BY6" s="872">
        <v>0</v>
      </c>
      <c r="BZ6" s="872">
        <v>0</v>
      </c>
      <c r="CA6" s="874">
        <v>1</v>
      </c>
      <c r="CB6" s="872"/>
      <c r="CC6" s="871"/>
      <c r="CD6" s="858">
        <v>0</v>
      </c>
      <c r="CE6" s="872">
        <v>0</v>
      </c>
      <c r="CF6" s="872">
        <v>0</v>
      </c>
      <c r="CG6" s="874">
        <v>1</v>
      </c>
      <c r="CH6" s="872"/>
      <c r="CI6" s="872"/>
      <c r="CJ6" s="858">
        <v>0</v>
      </c>
      <c r="CK6" s="872">
        <v>0</v>
      </c>
      <c r="CL6" s="872">
        <v>0</v>
      </c>
      <c r="CM6" s="874">
        <v>1</v>
      </c>
      <c r="CN6" s="872"/>
      <c r="CO6" s="872"/>
      <c r="CP6" s="858">
        <v>0</v>
      </c>
      <c r="CQ6" s="872">
        <v>0</v>
      </c>
      <c r="CR6" s="872">
        <v>0</v>
      </c>
      <c r="CS6" s="874">
        <v>1</v>
      </c>
      <c r="CT6" s="872"/>
      <c r="CU6" s="871"/>
      <c r="CV6" s="858">
        <v>0</v>
      </c>
      <c r="CW6" s="872">
        <v>0</v>
      </c>
      <c r="CX6" s="872">
        <v>0</v>
      </c>
      <c r="CY6" s="874">
        <v>1</v>
      </c>
      <c r="CZ6" s="872"/>
      <c r="DA6" s="871"/>
      <c r="DB6" s="858">
        <v>0</v>
      </c>
      <c r="DC6" s="872">
        <v>0</v>
      </c>
      <c r="DD6" s="872">
        <v>0</v>
      </c>
      <c r="DE6" s="874">
        <v>1</v>
      </c>
      <c r="DF6" s="872"/>
      <c r="DG6" s="871"/>
      <c r="DH6" s="858">
        <v>0</v>
      </c>
      <c r="DI6" s="872">
        <v>0</v>
      </c>
      <c r="DJ6" s="872">
        <v>0</v>
      </c>
      <c r="DK6" s="874">
        <v>1</v>
      </c>
      <c r="DL6" s="872"/>
      <c r="DM6" s="871"/>
      <c r="DN6" s="858">
        <v>0</v>
      </c>
      <c r="DO6" s="872">
        <v>0</v>
      </c>
      <c r="DP6" s="872">
        <v>0</v>
      </c>
      <c r="DQ6" s="872">
        <v>0</v>
      </c>
    </row>
    <row r="7" s="861" customFormat="1" ht="14.25" customHeight="1" spans="1:121">
      <c r="A7" s="852">
        <v>5</v>
      </c>
      <c r="B7" s="853" t="s">
        <v>1343</v>
      </c>
      <c r="C7" s="853" t="s">
        <v>1341</v>
      </c>
      <c r="D7" s="857" t="s">
        <v>660</v>
      </c>
      <c r="E7" s="869">
        <v>0</v>
      </c>
      <c r="F7" s="870">
        <v>0</v>
      </c>
      <c r="G7" s="871">
        <v>0</v>
      </c>
      <c r="H7" s="872"/>
      <c r="I7" s="871"/>
      <c r="J7" s="858">
        <v>0</v>
      </c>
      <c r="K7" s="872">
        <v>0</v>
      </c>
      <c r="L7" s="872">
        <v>0</v>
      </c>
      <c r="M7" s="874">
        <v>0</v>
      </c>
      <c r="N7" s="872"/>
      <c r="O7" s="871"/>
      <c r="P7" s="858">
        <v>0</v>
      </c>
      <c r="Q7" s="872">
        <v>0</v>
      </c>
      <c r="R7" s="872">
        <v>0</v>
      </c>
      <c r="S7" s="874">
        <v>0</v>
      </c>
      <c r="T7" s="872"/>
      <c r="U7" s="871"/>
      <c r="V7" s="858">
        <v>0</v>
      </c>
      <c r="W7" s="872">
        <v>0</v>
      </c>
      <c r="X7" s="872">
        <v>0</v>
      </c>
      <c r="Y7" s="874">
        <v>0</v>
      </c>
      <c r="Z7" s="872"/>
      <c r="AA7" s="871"/>
      <c r="AB7" s="858">
        <v>0</v>
      </c>
      <c r="AC7" s="872">
        <v>0</v>
      </c>
      <c r="AD7" s="872">
        <v>0</v>
      </c>
      <c r="AE7" s="874">
        <v>0</v>
      </c>
      <c r="AF7" s="872"/>
      <c r="AG7" s="871"/>
      <c r="AH7" s="858">
        <v>0</v>
      </c>
      <c r="AI7" s="872">
        <v>0</v>
      </c>
      <c r="AJ7" s="872">
        <v>0</v>
      </c>
      <c r="AK7" s="874">
        <v>0</v>
      </c>
      <c r="AL7" s="858" t="s">
        <v>1440</v>
      </c>
      <c r="AM7" s="871">
        <v>1</v>
      </c>
      <c r="AN7" s="858">
        <v>0</v>
      </c>
      <c r="AO7" s="872">
        <v>0</v>
      </c>
      <c r="AP7" s="872">
        <v>0</v>
      </c>
      <c r="AQ7" s="874">
        <v>1</v>
      </c>
      <c r="AR7" s="872"/>
      <c r="AS7" s="872"/>
      <c r="AT7" s="858">
        <v>0</v>
      </c>
      <c r="AU7" s="872">
        <v>0</v>
      </c>
      <c r="AV7" s="872">
        <v>0</v>
      </c>
      <c r="AW7" s="874">
        <v>1</v>
      </c>
      <c r="AX7" s="872"/>
      <c r="AY7" s="872"/>
      <c r="AZ7" s="858">
        <v>0</v>
      </c>
      <c r="BA7" s="872">
        <v>0</v>
      </c>
      <c r="BB7" s="872">
        <v>0</v>
      </c>
      <c r="BC7" s="874">
        <v>1</v>
      </c>
      <c r="BD7" s="872"/>
      <c r="BE7" s="871"/>
      <c r="BF7" s="858">
        <v>0</v>
      </c>
      <c r="BG7" s="872">
        <v>0</v>
      </c>
      <c r="BH7" s="872">
        <v>0</v>
      </c>
      <c r="BI7" s="874">
        <v>1</v>
      </c>
      <c r="BJ7" s="872"/>
      <c r="BK7" s="871"/>
      <c r="BL7" s="858">
        <v>0</v>
      </c>
      <c r="BM7" s="872">
        <v>0</v>
      </c>
      <c r="BN7" s="872">
        <v>0</v>
      </c>
      <c r="BO7" s="874">
        <v>1</v>
      </c>
      <c r="BP7" s="872"/>
      <c r="BQ7" s="871"/>
      <c r="BR7" s="858">
        <v>0</v>
      </c>
      <c r="BS7" s="872">
        <v>0</v>
      </c>
      <c r="BT7" s="872">
        <v>0</v>
      </c>
      <c r="BU7" s="874">
        <v>1</v>
      </c>
      <c r="BV7" s="872"/>
      <c r="BW7" s="871"/>
      <c r="BX7" s="858">
        <v>0</v>
      </c>
      <c r="BY7" s="872">
        <v>0</v>
      </c>
      <c r="BZ7" s="872">
        <v>0</v>
      </c>
      <c r="CA7" s="874">
        <v>1</v>
      </c>
      <c r="CB7" s="872"/>
      <c r="CC7" s="871"/>
      <c r="CD7" s="858">
        <v>0</v>
      </c>
      <c r="CE7" s="872">
        <v>0</v>
      </c>
      <c r="CF7" s="872">
        <v>0</v>
      </c>
      <c r="CG7" s="874">
        <v>1</v>
      </c>
      <c r="CH7" s="872"/>
      <c r="CI7" s="872"/>
      <c r="CJ7" s="858">
        <v>0</v>
      </c>
      <c r="CK7" s="872">
        <v>0</v>
      </c>
      <c r="CL7" s="872">
        <v>0</v>
      </c>
      <c r="CM7" s="874">
        <v>1</v>
      </c>
      <c r="CN7" s="872"/>
      <c r="CO7" s="872"/>
      <c r="CP7" s="858">
        <v>0</v>
      </c>
      <c r="CQ7" s="872">
        <v>0</v>
      </c>
      <c r="CR7" s="872">
        <v>0</v>
      </c>
      <c r="CS7" s="874">
        <v>1</v>
      </c>
      <c r="CT7" s="872"/>
      <c r="CU7" s="871"/>
      <c r="CV7" s="858">
        <v>0</v>
      </c>
      <c r="CW7" s="872">
        <v>0</v>
      </c>
      <c r="CX7" s="872">
        <v>0</v>
      </c>
      <c r="CY7" s="874">
        <v>1</v>
      </c>
      <c r="CZ7" s="872"/>
      <c r="DA7" s="871"/>
      <c r="DB7" s="858">
        <v>0</v>
      </c>
      <c r="DC7" s="872">
        <v>0</v>
      </c>
      <c r="DD7" s="872">
        <v>0</v>
      </c>
      <c r="DE7" s="874">
        <v>1</v>
      </c>
      <c r="DF7" s="872"/>
      <c r="DG7" s="871"/>
      <c r="DH7" s="858">
        <v>0</v>
      </c>
      <c r="DI7" s="872">
        <v>0</v>
      </c>
      <c r="DJ7" s="872">
        <v>0</v>
      </c>
      <c r="DK7" s="874">
        <v>1</v>
      </c>
      <c r="DL7" s="872"/>
      <c r="DM7" s="871"/>
      <c r="DN7" s="858">
        <v>0</v>
      </c>
      <c r="DO7" s="872">
        <v>0</v>
      </c>
      <c r="DP7" s="872">
        <v>0</v>
      </c>
      <c r="DQ7" s="872">
        <v>0</v>
      </c>
    </row>
    <row r="8" s="861" customFormat="1" ht="14.25" customHeight="1" spans="1:121">
      <c r="A8" s="852">
        <v>6</v>
      </c>
      <c r="B8" s="853" t="s">
        <v>1343</v>
      </c>
      <c r="C8" s="853" t="s">
        <v>1341</v>
      </c>
      <c r="D8" s="857" t="s">
        <v>624</v>
      </c>
      <c r="E8" s="869">
        <v>116.4753028</v>
      </c>
      <c r="F8" s="870">
        <v>0</v>
      </c>
      <c r="G8" s="871">
        <v>0</v>
      </c>
      <c r="H8" s="872"/>
      <c r="I8" s="871"/>
      <c r="J8" s="858">
        <v>0</v>
      </c>
      <c r="K8" s="872">
        <v>0</v>
      </c>
      <c r="L8" s="872">
        <v>0</v>
      </c>
      <c r="M8" s="874">
        <v>0</v>
      </c>
      <c r="N8" s="872"/>
      <c r="O8" s="871"/>
      <c r="P8" s="858">
        <v>0</v>
      </c>
      <c r="Q8" s="872">
        <v>0</v>
      </c>
      <c r="R8" s="872">
        <v>0</v>
      </c>
      <c r="S8" s="874">
        <v>0</v>
      </c>
      <c r="T8" s="872"/>
      <c r="U8" s="871"/>
      <c r="V8" s="858">
        <v>0</v>
      </c>
      <c r="W8" s="872">
        <v>0</v>
      </c>
      <c r="X8" s="872">
        <v>0</v>
      </c>
      <c r="Y8" s="874">
        <v>0</v>
      </c>
      <c r="Z8" s="872"/>
      <c r="AA8" s="871"/>
      <c r="AB8" s="858">
        <v>0</v>
      </c>
      <c r="AC8" s="872">
        <v>0</v>
      </c>
      <c r="AD8" s="872">
        <v>0</v>
      </c>
      <c r="AE8" s="874">
        <v>0</v>
      </c>
      <c r="AF8" s="872"/>
      <c r="AG8" s="871"/>
      <c r="AH8" s="858">
        <v>0</v>
      </c>
      <c r="AI8" s="872">
        <v>0</v>
      </c>
      <c r="AJ8" s="872">
        <v>0</v>
      </c>
      <c r="AK8" s="874">
        <v>0</v>
      </c>
      <c r="AL8" s="872"/>
      <c r="AM8" s="871"/>
      <c r="AN8" s="858">
        <v>0</v>
      </c>
      <c r="AO8" s="872">
        <v>0</v>
      </c>
      <c r="AP8" s="872">
        <v>0</v>
      </c>
      <c r="AQ8" s="874">
        <v>0</v>
      </c>
      <c r="AR8" s="872"/>
      <c r="AS8" s="872"/>
      <c r="AT8" s="858">
        <v>0</v>
      </c>
      <c r="AU8" s="872">
        <v>0</v>
      </c>
      <c r="AV8" s="872">
        <v>0</v>
      </c>
      <c r="AW8" s="874">
        <v>0</v>
      </c>
      <c r="AX8" s="872"/>
      <c r="AY8" s="872"/>
      <c r="AZ8" s="858">
        <v>0</v>
      </c>
      <c r="BA8" s="872">
        <v>0</v>
      </c>
      <c r="BB8" s="872">
        <v>0</v>
      </c>
      <c r="BC8" s="874">
        <v>0</v>
      </c>
      <c r="BD8" s="858" t="s">
        <v>1441</v>
      </c>
      <c r="BE8" s="871">
        <v>0.8</v>
      </c>
      <c r="BF8" s="858">
        <v>93.18024224</v>
      </c>
      <c r="BG8" s="872">
        <v>93.18024224</v>
      </c>
      <c r="BH8" s="872">
        <v>0</v>
      </c>
      <c r="BI8" s="874">
        <v>0.8</v>
      </c>
      <c r="BJ8" s="872"/>
      <c r="BK8" s="871"/>
      <c r="BL8" s="858">
        <v>0</v>
      </c>
      <c r="BM8" s="872">
        <v>0</v>
      </c>
      <c r="BN8" s="872">
        <v>0</v>
      </c>
      <c r="BO8" s="874">
        <v>0.8</v>
      </c>
      <c r="BP8" s="872"/>
      <c r="BQ8" s="871"/>
      <c r="BR8" s="858">
        <v>0</v>
      </c>
      <c r="BS8" s="872">
        <v>0</v>
      </c>
      <c r="BT8" s="872">
        <v>0</v>
      </c>
      <c r="BU8" s="874">
        <v>0.8</v>
      </c>
      <c r="BV8" s="872"/>
      <c r="BW8" s="871"/>
      <c r="BX8" s="858">
        <v>0</v>
      </c>
      <c r="BY8" s="872">
        <v>0</v>
      </c>
      <c r="BZ8" s="872">
        <v>0</v>
      </c>
      <c r="CA8" s="874">
        <v>0.8</v>
      </c>
      <c r="CB8" s="872"/>
      <c r="CC8" s="871"/>
      <c r="CD8" s="858">
        <v>0</v>
      </c>
      <c r="CE8" s="872">
        <v>0</v>
      </c>
      <c r="CF8" s="872">
        <v>0</v>
      </c>
      <c r="CG8" s="874">
        <v>0.8</v>
      </c>
      <c r="CH8" s="872"/>
      <c r="CI8" s="872"/>
      <c r="CJ8" s="858">
        <v>0</v>
      </c>
      <c r="CK8" s="872">
        <v>0</v>
      </c>
      <c r="CL8" s="872">
        <v>0</v>
      </c>
      <c r="CM8" s="874">
        <v>0.8</v>
      </c>
      <c r="CN8" s="872"/>
      <c r="CO8" s="872"/>
      <c r="CP8" s="858">
        <v>0</v>
      </c>
      <c r="CQ8" s="872">
        <v>0</v>
      </c>
      <c r="CR8" s="872">
        <v>0</v>
      </c>
      <c r="CS8" s="874">
        <v>0.8</v>
      </c>
      <c r="CT8" s="872"/>
      <c r="CU8" s="871"/>
      <c r="CV8" s="858">
        <v>0</v>
      </c>
      <c r="CW8" s="872">
        <v>0</v>
      </c>
      <c r="CX8" s="872">
        <v>0</v>
      </c>
      <c r="CY8" s="874">
        <v>0.8</v>
      </c>
      <c r="CZ8" s="858" t="s">
        <v>1441</v>
      </c>
      <c r="DA8" s="871">
        <v>0.2</v>
      </c>
      <c r="DB8" s="858">
        <v>23.29506056</v>
      </c>
      <c r="DC8" s="872">
        <v>23.29506056</v>
      </c>
      <c r="DD8" s="872">
        <v>0</v>
      </c>
      <c r="DE8" s="874">
        <v>1</v>
      </c>
      <c r="DF8" s="872"/>
      <c r="DG8" s="871"/>
      <c r="DH8" s="858">
        <v>0</v>
      </c>
      <c r="DI8" s="872">
        <v>0</v>
      </c>
      <c r="DJ8" s="872">
        <v>0</v>
      </c>
      <c r="DK8" s="874">
        <v>1</v>
      </c>
      <c r="DL8" s="872"/>
      <c r="DM8" s="871"/>
      <c r="DN8" s="858">
        <v>0</v>
      </c>
      <c r="DO8" s="872">
        <v>0</v>
      </c>
      <c r="DP8" s="872">
        <v>0</v>
      </c>
      <c r="DQ8" s="872">
        <v>0</v>
      </c>
    </row>
    <row r="9" s="861" customFormat="1" ht="14.25" customHeight="1" spans="1:121">
      <c r="A9" s="852">
        <v>7</v>
      </c>
      <c r="B9" s="853" t="s">
        <v>1343</v>
      </c>
      <c r="C9" s="853" t="s">
        <v>1341</v>
      </c>
      <c r="D9" s="857" t="s">
        <v>638</v>
      </c>
      <c r="E9" s="869">
        <v>46.70986566</v>
      </c>
      <c r="F9" s="870">
        <v>0</v>
      </c>
      <c r="G9" s="871">
        <v>0</v>
      </c>
      <c r="H9" s="872"/>
      <c r="I9" s="871"/>
      <c r="J9" s="858">
        <v>0</v>
      </c>
      <c r="K9" s="872">
        <v>0</v>
      </c>
      <c r="L9" s="872">
        <v>0</v>
      </c>
      <c r="M9" s="874">
        <v>0</v>
      </c>
      <c r="N9" s="872"/>
      <c r="O9" s="871"/>
      <c r="P9" s="858">
        <v>0</v>
      </c>
      <c r="Q9" s="872">
        <v>0</v>
      </c>
      <c r="R9" s="872">
        <v>0</v>
      </c>
      <c r="S9" s="874">
        <v>0</v>
      </c>
      <c r="T9" s="858" t="s">
        <v>1441</v>
      </c>
      <c r="U9" s="871">
        <v>0.65</v>
      </c>
      <c r="V9" s="858">
        <v>30.361412679</v>
      </c>
      <c r="W9" s="872">
        <v>30.361412679</v>
      </c>
      <c r="X9" s="872">
        <v>0</v>
      </c>
      <c r="Y9" s="874">
        <v>0.65</v>
      </c>
      <c r="Z9" s="872"/>
      <c r="AA9" s="871"/>
      <c r="AB9" s="858">
        <v>0</v>
      </c>
      <c r="AC9" s="872">
        <v>0</v>
      </c>
      <c r="AD9" s="872">
        <v>0</v>
      </c>
      <c r="AE9" s="874">
        <v>0.65</v>
      </c>
      <c r="AF9" s="872"/>
      <c r="AG9" s="871"/>
      <c r="AH9" s="858">
        <v>0</v>
      </c>
      <c r="AI9" s="872">
        <v>0</v>
      </c>
      <c r="AJ9" s="872">
        <v>0</v>
      </c>
      <c r="AK9" s="874">
        <v>0.65</v>
      </c>
      <c r="AL9" s="858" t="s">
        <v>1442</v>
      </c>
      <c r="AM9" s="871">
        <v>0.35</v>
      </c>
      <c r="AN9" s="858">
        <v>16.348452981</v>
      </c>
      <c r="AO9" s="872">
        <v>16.348452981</v>
      </c>
      <c r="AP9" s="872">
        <v>0</v>
      </c>
      <c r="AQ9" s="874">
        <v>1</v>
      </c>
      <c r="AR9" s="872"/>
      <c r="AS9" s="872"/>
      <c r="AT9" s="858">
        <v>0</v>
      </c>
      <c r="AU9" s="872">
        <v>0</v>
      </c>
      <c r="AV9" s="872">
        <v>0</v>
      </c>
      <c r="AW9" s="874">
        <v>1</v>
      </c>
      <c r="AX9" s="872"/>
      <c r="AY9" s="872"/>
      <c r="AZ9" s="858">
        <v>0</v>
      </c>
      <c r="BA9" s="872">
        <v>0</v>
      </c>
      <c r="BB9" s="872">
        <v>0</v>
      </c>
      <c r="BC9" s="874">
        <v>1</v>
      </c>
      <c r="BD9" s="872"/>
      <c r="BE9" s="871"/>
      <c r="BF9" s="858">
        <v>0</v>
      </c>
      <c r="BG9" s="872">
        <v>0</v>
      </c>
      <c r="BH9" s="872">
        <v>0</v>
      </c>
      <c r="BI9" s="874">
        <v>1</v>
      </c>
      <c r="BJ9" s="872"/>
      <c r="BK9" s="871"/>
      <c r="BL9" s="858">
        <v>0</v>
      </c>
      <c r="BM9" s="872">
        <v>0</v>
      </c>
      <c r="BN9" s="872">
        <v>0</v>
      </c>
      <c r="BO9" s="874">
        <v>1</v>
      </c>
      <c r="BP9" s="872"/>
      <c r="BQ9" s="871"/>
      <c r="BR9" s="858">
        <v>0</v>
      </c>
      <c r="BS9" s="872">
        <v>0</v>
      </c>
      <c r="BT9" s="872">
        <v>0</v>
      </c>
      <c r="BU9" s="874">
        <v>1</v>
      </c>
      <c r="BV9" s="872"/>
      <c r="BW9" s="871"/>
      <c r="BX9" s="858">
        <v>0</v>
      </c>
      <c r="BY9" s="872">
        <v>0</v>
      </c>
      <c r="BZ9" s="872">
        <v>0</v>
      </c>
      <c r="CA9" s="874">
        <v>1</v>
      </c>
      <c r="CB9" s="872"/>
      <c r="CC9" s="871"/>
      <c r="CD9" s="858">
        <v>0</v>
      </c>
      <c r="CE9" s="872">
        <v>0</v>
      </c>
      <c r="CF9" s="872">
        <v>0</v>
      </c>
      <c r="CG9" s="874">
        <v>1</v>
      </c>
      <c r="CH9" s="872"/>
      <c r="CI9" s="872"/>
      <c r="CJ9" s="858">
        <v>0</v>
      </c>
      <c r="CK9" s="872">
        <v>0</v>
      </c>
      <c r="CL9" s="872">
        <v>0</v>
      </c>
      <c r="CM9" s="874">
        <v>1</v>
      </c>
      <c r="CN9" s="872"/>
      <c r="CO9" s="872"/>
      <c r="CP9" s="858">
        <v>0</v>
      </c>
      <c r="CQ9" s="872">
        <v>0</v>
      </c>
      <c r="CR9" s="872">
        <v>0</v>
      </c>
      <c r="CS9" s="874">
        <v>1</v>
      </c>
      <c r="CT9" s="872"/>
      <c r="CU9" s="871"/>
      <c r="CV9" s="858">
        <v>0</v>
      </c>
      <c r="CW9" s="872">
        <v>0</v>
      </c>
      <c r="CX9" s="872">
        <v>0</v>
      </c>
      <c r="CY9" s="874">
        <v>1</v>
      </c>
      <c r="CZ9" s="872"/>
      <c r="DA9" s="871"/>
      <c r="DB9" s="858">
        <v>0</v>
      </c>
      <c r="DC9" s="872">
        <v>0</v>
      </c>
      <c r="DD9" s="872">
        <v>0</v>
      </c>
      <c r="DE9" s="874">
        <v>1</v>
      </c>
      <c r="DF9" s="872"/>
      <c r="DG9" s="871"/>
      <c r="DH9" s="858">
        <v>0</v>
      </c>
      <c r="DI9" s="872">
        <v>0</v>
      </c>
      <c r="DJ9" s="872">
        <v>0</v>
      </c>
      <c r="DK9" s="874">
        <v>1</v>
      </c>
      <c r="DL9" s="872"/>
      <c r="DM9" s="871"/>
      <c r="DN9" s="858">
        <v>0</v>
      </c>
      <c r="DO9" s="872">
        <v>0</v>
      </c>
      <c r="DP9" s="872">
        <v>0</v>
      </c>
      <c r="DQ9" s="872">
        <v>0</v>
      </c>
    </row>
    <row r="10" s="861" customFormat="1" ht="14.25" customHeight="1" spans="1:121">
      <c r="A10" s="852">
        <v>8</v>
      </c>
      <c r="B10" s="853" t="s">
        <v>1343</v>
      </c>
      <c r="C10" s="873" t="s">
        <v>1341</v>
      </c>
      <c r="D10" s="857" t="s">
        <v>707</v>
      </c>
      <c r="E10" s="869">
        <v>68.7202639167904</v>
      </c>
      <c r="F10" s="870">
        <v>0</v>
      </c>
      <c r="G10" s="871">
        <v>0</v>
      </c>
      <c r="H10" s="858" t="s">
        <v>1440</v>
      </c>
      <c r="I10" s="871">
        <v>1</v>
      </c>
      <c r="J10" s="858">
        <v>68.7202639167904</v>
      </c>
      <c r="K10" s="872">
        <v>68.7202639167904</v>
      </c>
      <c r="L10" s="872">
        <v>0</v>
      </c>
      <c r="M10" s="874">
        <v>1</v>
      </c>
      <c r="N10" s="872"/>
      <c r="O10" s="871"/>
      <c r="P10" s="858">
        <v>0</v>
      </c>
      <c r="Q10" s="872">
        <v>0</v>
      </c>
      <c r="R10" s="872">
        <v>0</v>
      </c>
      <c r="S10" s="874">
        <v>1</v>
      </c>
      <c r="T10" s="872"/>
      <c r="U10" s="871"/>
      <c r="V10" s="858">
        <v>0</v>
      </c>
      <c r="W10" s="872">
        <v>0</v>
      </c>
      <c r="X10" s="872">
        <v>0</v>
      </c>
      <c r="Y10" s="874">
        <v>1</v>
      </c>
      <c r="Z10" s="872"/>
      <c r="AA10" s="871"/>
      <c r="AB10" s="858">
        <v>0</v>
      </c>
      <c r="AC10" s="872">
        <v>0</v>
      </c>
      <c r="AD10" s="872">
        <v>0</v>
      </c>
      <c r="AE10" s="874">
        <v>1</v>
      </c>
      <c r="AF10" s="872"/>
      <c r="AG10" s="871"/>
      <c r="AH10" s="858">
        <v>0</v>
      </c>
      <c r="AI10" s="872">
        <v>0</v>
      </c>
      <c r="AJ10" s="872">
        <v>0</v>
      </c>
      <c r="AK10" s="874">
        <v>1</v>
      </c>
      <c r="AL10" s="872"/>
      <c r="AM10" s="871"/>
      <c r="AN10" s="858">
        <v>0</v>
      </c>
      <c r="AO10" s="872">
        <v>0</v>
      </c>
      <c r="AP10" s="872">
        <v>0</v>
      </c>
      <c r="AQ10" s="874">
        <v>1</v>
      </c>
      <c r="AR10" s="872"/>
      <c r="AS10" s="872"/>
      <c r="AT10" s="858">
        <v>0</v>
      </c>
      <c r="AU10" s="872">
        <v>0</v>
      </c>
      <c r="AV10" s="872">
        <v>0</v>
      </c>
      <c r="AW10" s="874">
        <v>1</v>
      </c>
      <c r="AX10" s="872"/>
      <c r="AY10" s="872"/>
      <c r="AZ10" s="858">
        <v>0</v>
      </c>
      <c r="BA10" s="872">
        <v>0</v>
      </c>
      <c r="BB10" s="872">
        <v>0</v>
      </c>
      <c r="BC10" s="874">
        <v>1</v>
      </c>
      <c r="BD10" s="872"/>
      <c r="BE10" s="871"/>
      <c r="BF10" s="858">
        <v>0</v>
      </c>
      <c r="BG10" s="872">
        <v>0</v>
      </c>
      <c r="BH10" s="872">
        <v>0</v>
      </c>
      <c r="BI10" s="874">
        <v>1</v>
      </c>
      <c r="BJ10" s="872"/>
      <c r="BK10" s="871"/>
      <c r="BL10" s="858">
        <v>0</v>
      </c>
      <c r="BM10" s="872">
        <v>0</v>
      </c>
      <c r="BN10" s="872">
        <v>0</v>
      </c>
      <c r="BO10" s="874">
        <v>1</v>
      </c>
      <c r="BP10" s="872"/>
      <c r="BQ10" s="871"/>
      <c r="BR10" s="858">
        <v>0</v>
      </c>
      <c r="BS10" s="872">
        <v>0</v>
      </c>
      <c r="BT10" s="872">
        <v>0</v>
      </c>
      <c r="BU10" s="874">
        <v>1</v>
      </c>
      <c r="BV10" s="872"/>
      <c r="BW10" s="871"/>
      <c r="BX10" s="858">
        <v>0</v>
      </c>
      <c r="BY10" s="872">
        <v>0</v>
      </c>
      <c r="BZ10" s="872">
        <v>0</v>
      </c>
      <c r="CA10" s="874">
        <v>1</v>
      </c>
      <c r="CB10" s="872"/>
      <c r="CC10" s="871"/>
      <c r="CD10" s="858">
        <v>0</v>
      </c>
      <c r="CE10" s="872">
        <v>0</v>
      </c>
      <c r="CF10" s="872">
        <v>0</v>
      </c>
      <c r="CG10" s="874">
        <v>1</v>
      </c>
      <c r="CH10" s="872"/>
      <c r="CI10" s="872"/>
      <c r="CJ10" s="858">
        <v>0</v>
      </c>
      <c r="CK10" s="872">
        <v>0</v>
      </c>
      <c r="CL10" s="872">
        <v>0</v>
      </c>
      <c r="CM10" s="874">
        <v>1</v>
      </c>
      <c r="CN10" s="872"/>
      <c r="CO10" s="872"/>
      <c r="CP10" s="858">
        <v>0</v>
      </c>
      <c r="CQ10" s="872">
        <v>0</v>
      </c>
      <c r="CR10" s="872">
        <v>0</v>
      </c>
      <c r="CS10" s="874">
        <v>1</v>
      </c>
      <c r="CT10" s="872"/>
      <c r="CU10" s="871"/>
      <c r="CV10" s="858">
        <v>0</v>
      </c>
      <c r="CW10" s="872">
        <v>0</v>
      </c>
      <c r="CX10" s="872">
        <v>0</v>
      </c>
      <c r="CY10" s="874">
        <v>1</v>
      </c>
      <c r="CZ10" s="872"/>
      <c r="DA10" s="871"/>
      <c r="DB10" s="858">
        <v>0</v>
      </c>
      <c r="DC10" s="872">
        <v>0</v>
      </c>
      <c r="DD10" s="872">
        <v>0</v>
      </c>
      <c r="DE10" s="874">
        <v>1</v>
      </c>
      <c r="DF10" s="872"/>
      <c r="DG10" s="871"/>
      <c r="DH10" s="858">
        <v>0</v>
      </c>
      <c r="DI10" s="872">
        <v>0</v>
      </c>
      <c r="DJ10" s="872">
        <v>0</v>
      </c>
      <c r="DK10" s="874">
        <v>1</v>
      </c>
      <c r="DL10" s="872"/>
      <c r="DM10" s="871"/>
      <c r="DN10" s="858">
        <v>0</v>
      </c>
      <c r="DO10" s="872">
        <v>0</v>
      </c>
      <c r="DP10" s="872">
        <v>0</v>
      </c>
      <c r="DQ10" s="872">
        <v>0</v>
      </c>
    </row>
    <row r="11" s="861" customFormat="1" ht="14.25" customHeight="1" spans="1:121">
      <c r="A11" s="852">
        <v>9</v>
      </c>
      <c r="B11" s="853" t="s">
        <v>1343</v>
      </c>
      <c r="C11" s="873" t="s">
        <v>1341</v>
      </c>
      <c r="D11" s="857" t="s">
        <v>710</v>
      </c>
      <c r="E11" s="869">
        <v>67.2923450997357</v>
      </c>
      <c r="F11" s="870">
        <v>0</v>
      </c>
      <c r="G11" s="871">
        <v>0</v>
      </c>
      <c r="H11" s="872"/>
      <c r="I11" s="871"/>
      <c r="J11" s="858">
        <v>0</v>
      </c>
      <c r="K11" s="872">
        <v>0</v>
      </c>
      <c r="L11" s="872">
        <v>0</v>
      </c>
      <c r="M11" s="874">
        <v>0</v>
      </c>
      <c r="N11" s="872"/>
      <c r="O11" s="871"/>
      <c r="P11" s="858">
        <v>0</v>
      </c>
      <c r="Q11" s="872">
        <v>0</v>
      </c>
      <c r="R11" s="872">
        <v>0</v>
      </c>
      <c r="S11" s="874">
        <v>0</v>
      </c>
      <c r="T11" s="872"/>
      <c r="U11" s="871"/>
      <c r="V11" s="858">
        <v>0</v>
      </c>
      <c r="W11" s="872">
        <v>0</v>
      </c>
      <c r="X11" s="872">
        <v>0</v>
      </c>
      <c r="Y11" s="874">
        <v>0</v>
      </c>
      <c r="Z11" s="872"/>
      <c r="AA11" s="871"/>
      <c r="AB11" s="858">
        <v>0</v>
      </c>
      <c r="AC11" s="872">
        <v>0</v>
      </c>
      <c r="AD11" s="872">
        <v>0</v>
      </c>
      <c r="AE11" s="874">
        <v>0</v>
      </c>
      <c r="AF11" s="858" t="s">
        <v>1440</v>
      </c>
      <c r="AG11" s="871">
        <v>1</v>
      </c>
      <c r="AH11" s="858">
        <v>67.2923450997357</v>
      </c>
      <c r="AI11" s="872">
        <v>67.2923450997357</v>
      </c>
      <c r="AJ11" s="872">
        <v>0</v>
      </c>
      <c r="AK11" s="874">
        <v>1</v>
      </c>
      <c r="AL11" s="872"/>
      <c r="AM11" s="871"/>
      <c r="AN11" s="858">
        <v>0</v>
      </c>
      <c r="AO11" s="872">
        <v>0</v>
      </c>
      <c r="AP11" s="872">
        <v>0</v>
      </c>
      <c r="AQ11" s="874">
        <v>1</v>
      </c>
      <c r="AR11" s="872"/>
      <c r="AS11" s="872"/>
      <c r="AT11" s="858">
        <v>0</v>
      </c>
      <c r="AU11" s="872">
        <v>0</v>
      </c>
      <c r="AV11" s="872">
        <v>0</v>
      </c>
      <c r="AW11" s="874">
        <v>1</v>
      </c>
      <c r="AX11" s="872"/>
      <c r="AY11" s="872"/>
      <c r="AZ11" s="858">
        <v>0</v>
      </c>
      <c r="BA11" s="872">
        <v>0</v>
      </c>
      <c r="BB11" s="872">
        <v>0</v>
      </c>
      <c r="BC11" s="874">
        <v>1</v>
      </c>
      <c r="BD11" s="872"/>
      <c r="BE11" s="871"/>
      <c r="BF11" s="858">
        <v>0</v>
      </c>
      <c r="BG11" s="872">
        <v>0</v>
      </c>
      <c r="BH11" s="872">
        <v>0</v>
      </c>
      <c r="BI11" s="874">
        <v>1</v>
      </c>
      <c r="BJ11" s="872"/>
      <c r="BK11" s="871"/>
      <c r="BL11" s="858">
        <v>0</v>
      </c>
      <c r="BM11" s="872">
        <v>0</v>
      </c>
      <c r="BN11" s="872">
        <v>0</v>
      </c>
      <c r="BO11" s="874">
        <v>1</v>
      </c>
      <c r="BP11" s="872"/>
      <c r="BQ11" s="871"/>
      <c r="BR11" s="858">
        <v>0</v>
      </c>
      <c r="BS11" s="872">
        <v>0</v>
      </c>
      <c r="BT11" s="872">
        <v>0</v>
      </c>
      <c r="BU11" s="874">
        <v>1</v>
      </c>
      <c r="BV11" s="872"/>
      <c r="BW11" s="871"/>
      <c r="BX11" s="858">
        <v>0</v>
      </c>
      <c r="BY11" s="872">
        <v>0</v>
      </c>
      <c r="BZ11" s="872">
        <v>0</v>
      </c>
      <c r="CA11" s="874">
        <v>1</v>
      </c>
      <c r="CB11" s="872"/>
      <c r="CC11" s="871"/>
      <c r="CD11" s="858">
        <v>0</v>
      </c>
      <c r="CE11" s="872">
        <v>0</v>
      </c>
      <c r="CF11" s="872">
        <v>0</v>
      </c>
      <c r="CG11" s="874">
        <v>1</v>
      </c>
      <c r="CH11" s="872"/>
      <c r="CI11" s="872"/>
      <c r="CJ11" s="858">
        <v>0</v>
      </c>
      <c r="CK11" s="872">
        <v>0</v>
      </c>
      <c r="CL11" s="872">
        <v>0</v>
      </c>
      <c r="CM11" s="874">
        <v>1</v>
      </c>
      <c r="CN11" s="872"/>
      <c r="CO11" s="872"/>
      <c r="CP11" s="858">
        <v>0</v>
      </c>
      <c r="CQ11" s="872">
        <v>0</v>
      </c>
      <c r="CR11" s="872">
        <v>0</v>
      </c>
      <c r="CS11" s="874">
        <v>1</v>
      </c>
      <c r="CT11" s="872"/>
      <c r="CU11" s="871"/>
      <c r="CV11" s="858">
        <v>0</v>
      </c>
      <c r="CW11" s="872">
        <v>0</v>
      </c>
      <c r="CX11" s="872">
        <v>0</v>
      </c>
      <c r="CY11" s="874">
        <v>1</v>
      </c>
      <c r="CZ11" s="872"/>
      <c r="DA11" s="871"/>
      <c r="DB11" s="858">
        <v>0</v>
      </c>
      <c r="DC11" s="872">
        <v>0</v>
      </c>
      <c r="DD11" s="872">
        <v>0</v>
      </c>
      <c r="DE11" s="874">
        <v>1</v>
      </c>
      <c r="DF11" s="872"/>
      <c r="DG11" s="871"/>
      <c r="DH11" s="858">
        <v>0</v>
      </c>
      <c r="DI11" s="872">
        <v>0</v>
      </c>
      <c r="DJ11" s="872">
        <v>0</v>
      </c>
      <c r="DK11" s="874">
        <v>1</v>
      </c>
      <c r="DL11" s="872"/>
      <c r="DM11" s="871"/>
      <c r="DN11" s="858">
        <v>0</v>
      </c>
      <c r="DO11" s="872">
        <v>0</v>
      </c>
      <c r="DP11" s="872">
        <v>0</v>
      </c>
      <c r="DQ11" s="872">
        <v>0</v>
      </c>
    </row>
    <row r="12" s="861" customFormat="1" ht="14.25" customHeight="1" spans="1:121">
      <c r="A12" s="852">
        <v>10</v>
      </c>
      <c r="B12" s="853" t="s">
        <v>1343</v>
      </c>
      <c r="C12" s="873" t="s">
        <v>1341</v>
      </c>
      <c r="D12" s="857" t="s">
        <v>661</v>
      </c>
      <c r="E12" s="869">
        <v>6373.77322186656</v>
      </c>
      <c r="F12" s="870">
        <v>0</v>
      </c>
      <c r="G12" s="871">
        <v>0</v>
      </c>
      <c r="H12" s="872"/>
      <c r="I12" s="871"/>
      <c r="J12" s="858">
        <v>0</v>
      </c>
      <c r="K12" s="872">
        <v>0</v>
      </c>
      <c r="L12" s="872">
        <v>0</v>
      </c>
      <c r="M12" s="874">
        <v>0</v>
      </c>
      <c r="N12" s="872"/>
      <c r="O12" s="871"/>
      <c r="P12" s="858">
        <v>0</v>
      </c>
      <c r="Q12" s="872">
        <v>0</v>
      </c>
      <c r="R12" s="872">
        <v>0</v>
      </c>
      <c r="S12" s="874">
        <v>0</v>
      </c>
      <c r="T12" s="872"/>
      <c r="U12" s="871"/>
      <c r="V12" s="858">
        <v>0</v>
      </c>
      <c r="W12" s="872">
        <v>0</v>
      </c>
      <c r="X12" s="872">
        <v>0</v>
      </c>
      <c r="Y12" s="874">
        <v>0</v>
      </c>
      <c r="Z12" s="872"/>
      <c r="AA12" s="871"/>
      <c r="AB12" s="858">
        <v>0</v>
      </c>
      <c r="AC12" s="872">
        <v>0</v>
      </c>
      <c r="AD12" s="872">
        <v>0</v>
      </c>
      <c r="AE12" s="874">
        <v>0</v>
      </c>
      <c r="AF12" s="872"/>
      <c r="AG12" s="871"/>
      <c r="AH12" s="858">
        <v>0</v>
      </c>
      <c r="AI12" s="872">
        <v>0</v>
      </c>
      <c r="AJ12" s="872">
        <v>0</v>
      </c>
      <c r="AK12" s="874">
        <v>0</v>
      </c>
      <c r="AL12" s="872"/>
      <c r="AM12" s="871"/>
      <c r="AN12" s="858">
        <v>0</v>
      </c>
      <c r="AO12" s="872">
        <v>0</v>
      </c>
      <c r="AP12" s="872">
        <v>0</v>
      </c>
      <c r="AQ12" s="874">
        <v>0</v>
      </c>
      <c r="AR12" s="872"/>
      <c r="AS12" s="872"/>
      <c r="AT12" s="858">
        <v>0</v>
      </c>
      <c r="AU12" s="872">
        <v>0</v>
      </c>
      <c r="AV12" s="872">
        <v>0</v>
      </c>
      <c r="AW12" s="874">
        <v>0</v>
      </c>
      <c r="AX12" s="872"/>
      <c r="AY12" s="872"/>
      <c r="AZ12" s="858">
        <v>0</v>
      </c>
      <c r="BA12" s="872">
        <v>0</v>
      </c>
      <c r="BB12" s="872">
        <v>0</v>
      </c>
      <c r="BC12" s="874">
        <v>0</v>
      </c>
      <c r="BD12" s="858" t="s">
        <v>1441</v>
      </c>
      <c r="BE12" s="871">
        <v>0.8</v>
      </c>
      <c r="BF12" s="858">
        <v>5099.01857749325</v>
      </c>
      <c r="BG12" s="872">
        <v>5099.01857749325</v>
      </c>
      <c r="BH12" s="872">
        <v>0</v>
      </c>
      <c r="BI12" s="874">
        <v>0.8</v>
      </c>
      <c r="BJ12" s="872"/>
      <c r="BK12" s="871"/>
      <c r="BL12" s="858">
        <v>0</v>
      </c>
      <c r="BM12" s="872">
        <v>0</v>
      </c>
      <c r="BN12" s="872">
        <v>0</v>
      </c>
      <c r="BO12" s="874">
        <v>0.8</v>
      </c>
      <c r="BP12" s="872"/>
      <c r="BQ12" s="871"/>
      <c r="BR12" s="858">
        <v>0</v>
      </c>
      <c r="BS12" s="872">
        <v>0</v>
      </c>
      <c r="BT12" s="872">
        <v>0</v>
      </c>
      <c r="BU12" s="874">
        <v>0.8</v>
      </c>
      <c r="BV12" s="872"/>
      <c r="BW12" s="871"/>
      <c r="BX12" s="858">
        <v>0</v>
      </c>
      <c r="BY12" s="872">
        <v>0</v>
      </c>
      <c r="BZ12" s="872">
        <v>0</v>
      </c>
      <c r="CA12" s="874">
        <v>0.8</v>
      </c>
      <c r="CB12" s="872"/>
      <c r="CC12" s="871"/>
      <c r="CD12" s="858">
        <v>0</v>
      </c>
      <c r="CE12" s="872">
        <v>0</v>
      </c>
      <c r="CF12" s="872">
        <v>0</v>
      </c>
      <c r="CG12" s="874">
        <v>0.8</v>
      </c>
      <c r="CH12" s="872"/>
      <c r="CI12" s="872"/>
      <c r="CJ12" s="858">
        <v>0</v>
      </c>
      <c r="CK12" s="872">
        <v>0</v>
      </c>
      <c r="CL12" s="872">
        <v>0</v>
      </c>
      <c r="CM12" s="874">
        <v>0.8</v>
      </c>
      <c r="CN12" s="872"/>
      <c r="CO12" s="872"/>
      <c r="CP12" s="858">
        <v>0</v>
      </c>
      <c r="CQ12" s="872">
        <v>0</v>
      </c>
      <c r="CR12" s="872">
        <v>0</v>
      </c>
      <c r="CS12" s="874">
        <v>0.8</v>
      </c>
      <c r="CT12" s="872"/>
      <c r="CU12" s="871"/>
      <c r="CV12" s="858">
        <v>0</v>
      </c>
      <c r="CW12" s="872">
        <v>0</v>
      </c>
      <c r="CX12" s="872">
        <v>0</v>
      </c>
      <c r="CY12" s="874">
        <v>0.8</v>
      </c>
      <c r="CZ12" s="858" t="s">
        <v>1441</v>
      </c>
      <c r="DA12" s="871">
        <v>0.2</v>
      </c>
      <c r="DB12" s="858">
        <v>1274.75464437331</v>
      </c>
      <c r="DC12" s="872">
        <v>1274.75464437331</v>
      </c>
      <c r="DD12" s="872">
        <v>0</v>
      </c>
      <c r="DE12" s="874">
        <v>1</v>
      </c>
      <c r="DF12" s="872"/>
      <c r="DG12" s="871"/>
      <c r="DH12" s="858">
        <v>0</v>
      </c>
      <c r="DI12" s="872">
        <v>0</v>
      </c>
      <c r="DJ12" s="872">
        <v>0</v>
      </c>
      <c r="DK12" s="874">
        <v>1</v>
      </c>
      <c r="DL12" s="872"/>
      <c r="DM12" s="871"/>
      <c r="DN12" s="858">
        <v>0</v>
      </c>
      <c r="DO12" s="872">
        <v>0</v>
      </c>
      <c r="DP12" s="872">
        <v>0</v>
      </c>
      <c r="DQ12" s="872">
        <v>0</v>
      </c>
    </row>
    <row r="13" s="861" customFormat="1" ht="12.9" customHeight="1" spans="1:121">
      <c r="A13" s="852">
        <v>11</v>
      </c>
      <c r="B13" s="853" t="s">
        <v>1343</v>
      </c>
      <c r="C13" s="873" t="s">
        <v>1341</v>
      </c>
      <c r="D13" s="873" t="s">
        <v>765</v>
      </c>
      <c r="E13" s="869">
        <v>0</v>
      </c>
      <c r="F13" s="870">
        <v>0</v>
      </c>
      <c r="G13" s="871">
        <v>0</v>
      </c>
      <c r="H13" s="858"/>
      <c r="I13" s="871"/>
      <c r="J13" s="858">
        <v>0</v>
      </c>
      <c r="K13" s="872">
        <v>0</v>
      </c>
      <c r="L13" s="872">
        <v>0</v>
      </c>
      <c r="M13" s="874">
        <v>0</v>
      </c>
      <c r="N13" s="872"/>
      <c r="O13" s="871"/>
      <c r="P13" s="858">
        <v>0</v>
      </c>
      <c r="Q13" s="872">
        <v>0</v>
      </c>
      <c r="R13" s="872">
        <v>0</v>
      </c>
      <c r="S13" s="874">
        <v>0</v>
      </c>
      <c r="T13" s="872"/>
      <c r="U13" s="871"/>
      <c r="V13" s="858">
        <v>0</v>
      </c>
      <c r="W13" s="872">
        <v>0</v>
      </c>
      <c r="X13" s="872">
        <v>0</v>
      </c>
      <c r="Y13" s="874">
        <v>0</v>
      </c>
      <c r="Z13" s="872"/>
      <c r="AA13" s="871"/>
      <c r="AB13" s="858">
        <v>0</v>
      </c>
      <c r="AC13" s="872">
        <v>0</v>
      </c>
      <c r="AD13" s="872">
        <v>0</v>
      </c>
      <c r="AE13" s="874">
        <v>0</v>
      </c>
      <c r="AF13" s="858" t="s">
        <v>1440</v>
      </c>
      <c r="AG13" s="871">
        <v>1</v>
      </c>
      <c r="AH13" s="858">
        <v>0</v>
      </c>
      <c r="AI13" s="872">
        <v>0</v>
      </c>
      <c r="AJ13" s="872">
        <v>0</v>
      </c>
      <c r="AK13" s="874">
        <v>1</v>
      </c>
      <c r="AL13" s="872"/>
      <c r="AM13" s="871"/>
      <c r="AN13" s="858">
        <v>0</v>
      </c>
      <c r="AO13" s="872">
        <v>0</v>
      </c>
      <c r="AP13" s="872">
        <v>0</v>
      </c>
      <c r="AQ13" s="874">
        <v>1</v>
      </c>
      <c r="AR13" s="872"/>
      <c r="AS13" s="872"/>
      <c r="AT13" s="858">
        <v>0</v>
      </c>
      <c r="AU13" s="872">
        <v>0</v>
      </c>
      <c r="AV13" s="872">
        <v>0</v>
      </c>
      <c r="AW13" s="874">
        <v>1</v>
      </c>
      <c r="AX13" s="872"/>
      <c r="AY13" s="872"/>
      <c r="AZ13" s="858">
        <v>0</v>
      </c>
      <c r="BA13" s="872">
        <v>0</v>
      </c>
      <c r="BB13" s="872">
        <v>0</v>
      </c>
      <c r="BC13" s="874">
        <v>1</v>
      </c>
      <c r="BD13" s="872"/>
      <c r="BE13" s="871"/>
      <c r="BF13" s="858">
        <v>0</v>
      </c>
      <c r="BG13" s="872">
        <v>0</v>
      </c>
      <c r="BH13" s="872">
        <v>0</v>
      </c>
      <c r="BI13" s="874">
        <v>1</v>
      </c>
      <c r="BJ13" s="872"/>
      <c r="BK13" s="871"/>
      <c r="BL13" s="858">
        <v>0</v>
      </c>
      <c r="BM13" s="872">
        <v>0</v>
      </c>
      <c r="BN13" s="872">
        <v>0</v>
      </c>
      <c r="BO13" s="874">
        <v>1</v>
      </c>
      <c r="BP13" s="872"/>
      <c r="BQ13" s="871"/>
      <c r="BR13" s="858">
        <v>0</v>
      </c>
      <c r="BS13" s="872">
        <v>0</v>
      </c>
      <c r="BT13" s="872">
        <v>0</v>
      </c>
      <c r="BU13" s="874">
        <v>1</v>
      </c>
      <c r="BV13" s="872"/>
      <c r="BW13" s="871"/>
      <c r="BX13" s="858">
        <v>0</v>
      </c>
      <c r="BY13" s="872">
        <v>0</v>
      </c>
      <c r="BZ13" s="872">
        <v>0</v>
      </c>
      <c r="CA13" s="874">
        <v>1</v>
      </c>
      <c r="CB13" s="872"/>
      <c r="CC13" s="871"/>
      <c r="CD13" s="858">
        <v>0</v>
      </c>
      <c r="CE13" s="872">
        <v>0</v>
      </c>
      <c r="CF13" s="872">
        <v>0</v>
      </c>
      <c r="CG13" s="874">
        <v>1</v>
      </c>
      <c r="CH13" s="872"/>
      <c r="CI13" s="872"/>
      <c r="CJ13" s="858">
        <v>0</v>
      </c>
      <c r="CK13" s="872">
        <v>0</v>
      </c>
      <c r="CL13" s="872">
        <v>0</v>
      </c>
      <c r="CM13" s="874">
        <v>1</v>
      </c>
      <c r="CN13" s="872"/>
      <c r="CO13" s="872"/>
      <c r="CP13" s="858">
        <v>0</v>
      </c>
      <c r="CQ13" s="872">
        <v>0</v>
      </c>
      <c r="CR13" s="872">
        <v>0</v>
      </c>
      <c r="CS13" s="874">
        <v>1</v>
      </c>
      <c r="CT13" s="872"/>
      <c r="CU13" s="871"/>
      <c r="CV13" s="858">
        <v>0</v>
      </c>
      <c r="CW13" s="872">
        <v>0</v>
      </c>
      <c r="CX13" s="872">
        <v>0</v>
      </c>
      <c r="CY13" s="874">
        <v>1</v>
      </c>
      <c r="CZ13" s="872"/>
      <c r="DA13" s="871"/>
      <c r="DB13" s="858">
        <v>0</v>
      </c>
      <c r="DC13" s="872">
        <v>0</v>
      </c>
      <c r="DD13" s="872">
        <v>0</v>
      </c>
      <c r="DE13" s="874">
        <v>1</v>
      </c>
      <c r="DF13" s="872"/>
      <c r="DG13" s="871"/>
      <c r="DH13" s="858">
        <v>0</v>
      </c>
      <c r="DI13" s="872">
        <v>0</v>
      </c>
      <c r="DJ13" s="872">
        <v>0</v>
      </c>
      <c r="DK13" s="874">
        <v>1</v>
      </c>
      <c r="DL13" s="872"/>
      <c r="DM13" s="871"/>
      <c r="DN13" s="858">
        <v>0</v>
      </c>
      <c r="DO13" s="872">
        <v>0</v>
      </c>
      <c r="DP13" s="872">
        <v>0</v>
      </c>
      <c r="DQ13" s="872">
        <v>0</v>
      </c>
    </row>
    <row r="14" s="861" customFormat="1" ht="12.9" customHeight="1" spans="1:121">
      <c r="A14" s="852">
        <v>12</v>
      </c>
      <c r="B14" s="853" t="s">
        <v>1343</v>
      </c>
      <c r="C14" s="873" t="s">
        <v>1341</v>
      </c>
      <c r="D14" s="873" t="s">
        <v>767</v>
      </c>
      <c r="E14" s="869">
        <v>0</v>
      </c>
      <c r="F14" s="870">
        <v>0</v>
      </c>
      <c r="G14" s="871">
        <v>0</v>
      </c>
      <c r="H14" s="858"/>
      <c r="I14" s="871"/>
      <c r="J14" s="858">
        <v>0</v>
      </c>
      <c r="K14" s="872">
        <v>0</v>
      </c>
      <c r="L14" s="872">
        <v>0</v>
      </c>
      <c r="M14" s="874">
        <v>0</v>
      </c>
      <c r="N14" s="872"/>
      <c r="O14" s="871"/>
      <c r="P14" s="858">
        <v>0</v>
      </c>
      <c r="Q14" s="872">
        <v>0</v>
      </c>
      <c r="R14" s="872">
        <v>0</v>
      </c>
      <c r="S14" s="874">
        <v>0</v>
      </c>
      <c r="T14" s="872"/>
      <c r="U14" s="871"/>
      <c r="V14" s="858">
        <v>0</v>
      </c>
      <c r="W14" s="872">
        <v>0</v>
      </c>
      <c r="X14" s="872">
        <v>0</v>
      </c>
      <c r="Y14" s="874">
        <v>0</v>
      </c>
      <c r="Z14" s="872"/>
      <c r="AA14" s="871"/>
      <c r="AB14" s="858">
        <v>0</v>
      </c>
      <c r="AC14" s="872">
        <v>0</v>
      </c>
      <c r="AD14" s="872">
        <v>0</v>
      </c>
      <c r="AE14" s="874">
        <v>0</v>
      </c>
      <c r="AF14" s="858" t="s">
        <v>1440</v>
      </c>
      <c r="AG14" s="871">
        <v>1</v>
      </c>
      <c r="AH14" s="858">
        <v>0</v>
      </c>
      <c r="AI14" s="872">
        <v>0</v>
      </c>
      <c r="AJ14" s="872">
        <v>0</v>
      </c>
      <c r="AK14" s="874">
        <v>1</v>
      </c>
      <c r="AL14" s="872"/>
      <c r="AM14" s="871"/>
      <c r="AN14" s="858">
        <v>0</v>
      </c>
      <c r="AO14" s="872">
        <v>0</v>
      </c>
      <c r="AP14" s="872">
        <v>0</v>
      </c>
      <c r="AQ14" s="874">
        <v>1</v>
      </c>
      <c r="AR14" s="872"/>
      <c r="AS14" s="872"/>
      <c r="AT14" s="858">
        <v>0</v>
      </c>
      <c r="AU14" s="872">
        <v>0</v>
      </c>
      <c r="AV14" s="872">
        <v>0</v>
      </c>
      <c r="AW14" s="874">
        <v>1</v>
      </c>
      <c r="AX14" s="872"/>
      <c r="AY14" s="872"/>
      <c r="AZ14" s="858">
        <v>0</v>
      </c>
      <c r="BA14" s="872">
        <v>0</v>
      </c>
      <c r="BB14" s="872">
        <v>0</v>
      </c>
      <c r="BC14" s="874">
        <v>1</v>
      </c>
      <c r="BD14" s="872"/>
      <c r="BE14" s="871"/>
      <c r="BF14" s="858">
        <v>0</v>
      </c>
      <c r="BG14" s="872">
        <v>0</v>
      </c>
      <c r="BH14" s="872">
        <v>0</v>
      </c>
      <c r="BI14" s="874">
        <v>1</v>
      </c>
      <c r="BJ14" s="872"/>
      <c r="BK14" s="871"/>
      <c r="BL14" s="858">
        <v>0</v>
      </c>
      <c r="BM14" s="872">
        <v>0</v>
      </c>
      <c r="BN14" s="872">
        <v>0</v>
      </c>
      <c r="BO14" s="874">
        <v>1</v>
      </c>
      <c r="BP14" s="872"/>
      <c r="BQ14" s="871"/>
      <c r="BR14" s="858">
        <v>0</v>
      </c>
      <c r="BS14" s="872">
        <v>0</v>
      </c>
      <c r="BT14" s="872">
        <v>0</v>
      </c>
      <c r="BU14" s="874">
        <v>1</v>
      </c>
      <c r="BV14" s="872"/>
      <c r="BW14" s="871"/>
      <c r="BX14" s="858">
        <v>0</v>
      </c>
      <c r="BY14" s="872">
        <v>0</v>
      </c>
      <c r="BZ14" s="872">
        <v>0</v>
      </c>
      <c r="CA14" s="874">
        <v>1</v>
      </c>
      <c r="CB14" s="872"/>
      <c r="CC14" s="871"/>
      <c r="CD14" s="858">
        <v>0</v>
      </c>
      <c r="CE14" s="872">
        <v>0</v>
      </c>
      <c r="CF14" s="872">
        <v>0</v>
      </c>
      <c r="CG14" s="874">
        <v>1</v>
      </c>
      <c r="CH14" s="872"/>
      <c r="CI14" s="872"/>
      <c r="CJ14" s="858">
        <v>0</v>
      </c>
      <c r="CK14" s="872">
        <v>0</v>
      </c>
      <c r="CL14" s="872">
        <v>0</v>
      </c>
      <c r="CM14" s="874">
        <v>1</v>
      </c>
      <c r="CN14" s="872"/>
      <c r="CO14" s="872"/>
      <c r="CP14" s="858">
        <v>0</v>
      </c>
      <c r="CQ14" s="872">
        <v>0</v>
      </c>
      <c r="CR14" s="872">
        <v>0</v>
      </c>
      <c r="CS14" s="874">
        <v>1</v>
      </c>
      <c r="CT14" s="872"/>
      <c r="CU14" s="871"/>
      <c r="CV14" s="858">
        <v>0</v>
      </c>
      <c r="CW14" s="872">
        <v>0</v>
      </c>
      <c r="CX14" s="872">
        <v>0</v>
      </c>
      <c r="CY14" s="874">
        <v>1</v>
      </c>
      <c r="CZ14" s="872"/>
      <c r="DA14" s="871"/>
      <c r="DB14" s="858">
        <v>0</v>
      </c>
      <c r="DC14" s="872">
        <v>0</v>
      </c>
      <c r="DD14" s="872">
        <v>0</v>
      </c>
      <c r="DE14" s="874">
        <v>1</v>
      </c>
      <c r="DF14" s="872"/>
      <c r="DG14" s="871"/>
      <c r="DH14" s="858">
        <v>0</v>
      </c>
      <c r="DI14" s="872">
        <v>0</v>
      </c>
      <c r="DJ14" s="872">
        <v>0</v>
      </c>
      <c r="DK14" s="874">
        <v>1</v>
      </c>
      <c r="DL14" s="872"/>
      <c r="DM14" s="871"/>
      <c r="DN14" s="858">
        <v>0</v>
      </c>
      <c r="DO14" s="872">
        <v>0</v>
      </c>
      <c r="DP14" s="872">
        <v>0</v>
      </c>
      <c r="DQ14" s="872">
        <v>0</v>
      </c>
    </row>
    <row r="15" s="861" customFormat="1" ht="12.9" customHeight="1" spans="1:121">
      <c r="A15" s="852">
        <v>13</v>
      </c>
      <c r="B15" s="853" t="s">
        <v>1343</v>
      </c>
      <c r="C15" s="873" t="s">
        <v>1341</v>
      </c>
      <c r="D15" s="873" t="s">
        <v>769</v>
      </c>
      <c r="E15" s="869">
        <v>0</v>
      </c>
      <c r="F15" s="870">
        <v>0</v>
      </c>
      <c r="G15" s="871">
        <v>0</v>
      </c>
      <c r="H15" s="858"/>
      <c r="I15" s="871"/>
      <c r="J15" s="858">
        <v>0</v>
      </c>
      <c r="K15" s="872">
        <v>0</v>
      </c>
      <c r="L15" s="872">
        <v>0</v>
      </c>
      <c r="M15" s="874">
        <v>0</v>
      </c>
      <c r="N15" s="872"/>
      <c r="O15" s="871"/>
      <c r="P15" s="858">
        <v>0</v>
      </c>
      <c r="Q15" s="872">
        <v>0</v>
      </c>
      <c r="R15" s="872">
        <v>0</v>
      </c>
      <c r="S15" s="874">
        <v>0</v>
      </c>
      <c r="T15" s="872"/>
      <c r="U15" s="871"/>
      <c r="V15" s="858">
        <v>0</v>
      </c>
      <c r="W15" s="872">
        <v>0</v>
      </c>
      <c r="X15" s="872">
        <v>0</v>
      </c>
      <c r="Y15" s="874">
        <v>0</v>
      </c>
      <c r="Z15" s="872"/>
      <c r="AA15" s="871"/>
      <c r="AB15" s="858">
        <v>0</v>
      </c>
      <c r="AC15" s="872">
        <v>0</v>
      </c>
      <c r="AD15" s="872">
        <v>0</v>
      </c>
      <c r="AE15" s="874">
        <v>0</v>
      </c>
      <c r="AF15" s="858" t="s">
        <v>1440</v>
      </c>
      <c r="AG15" s="871">
        <v>1</v>
      </c>
      <c r="AH15" s="858">
        <v>0</v>
      </c>
      <c r="AI15" s="872">
        <v>0</v>
      </c>
      <c r="AJ15" s="872">
        <v>0</v>
      </c>
      <c r="AK15" s="874">
        <v>1</v>
      </c>
      <c r="AL15" s="872"/>
      <c r="AM15" s="871"/>
      <c r="AN15" s="858">
        <v>0</v>
      </c>
      <c r="AO15" s="872">
        <v>0</v>
      </c>
      <c r="AP15" s="872">
        <v>0</v>
      </c>
      <c r="AQ15" s="874">
        <v>1</v>
      </c>
      <c r="AR15" s="872"/>
      <c r="AS15" s="872"/>
      <c r="AT15" s="858">
        <v>0</v>
      </c>
      <c r="AU15" s="872">
        <v>0</v>
      </c>
      <c r="AV15" s="872">
        <v>0</v>
      </c>
      <c r="AW15" s="874">
        <v>1</v>
      </c>
      <c r="AX15" s="872"/>
      <c r="AY15" s="872"/>
      <c r="AZ15" s="858">
        <v>0</v>
      </c>
      <c r="BA15" s="872">
        <v>0</v>
      </c>
      <c r="BB15" s="872">
        <v>0</v>
      </c>
      <c r="BC15" s="874">
        <v>1</v>
      </c>
      <c r="BD15" s="872"/>
      <c r="BE15" s="871"/>
      <c r="BF15" s="858">
        <v>0</v>
      </c>
      <c r="BG15" s="872">
        <v>0</v>
      </c>
      <c r="BH15" s="872">
        <v>0</v>
      </c>
      <c r="BI15" s="874">
        <v>1</v>
      </c>
      <c r="BJ15" s="872"/>
      <c r="BK15" s="871"/>
      <c r="BL15" s="858">
        <v>0</v>
      </c>
      <c r="BM15" s="872">
        <v>0</v>
      </c>
      <c r="BN15" s="872">
        <v>0</v>
      </c>
      <c r="BO15" s="874">
        <v>1</v>
      </c>
      <c r="BP15" s="872"/>
      <c r="BQ15" s="871"/>
      <c r="BR15" s="858">
        <v>0</v>
      </c>
      <c r="BS15" s="872">
        <v>0</v>
      </c>
      <c r="BT15" s="872">
        <v>0</v>
      </c>
      <c r="BU15" s="874">
        <v>1</v>
      </c>
      <c r="BV15" s="872"/>
      <c r="BW15" s="871"/>
      <c r="BX15" s="858">
        <v>0</v>
      </c>
      <c r="BY15" s="872">
        <v>0</v>
      </c>
      <c r="BZ15" s="872">
        <v>0</v>
      </c>
      <c r="CA15" s="874">
        <v>1</v>
      </c>
      <c r="CB15" s="872"/>
      <c r="CC15" s="871"/>
      <c r="CD15" s="858">
        <v>0</v>
      </c>
      <c r="CE15" s="872">
        <v>0</v>
      </c>
      <c r="CF15" s="872">
        <v>0</v>
      </c>
      <c r="CG15" s="874">
        <v>1</v>
      </c>
      <c r="CH15" s="872"/>
      <c r="CI15" s="872"/>
      <c r="CJ15" s="858">
        <v>0</v>
      </c>
      <c r="CK15" s="872">
        <v>0</v>
      </c>
      <c r="CL15" s="872">
        <v>0</v>
      </c>
      <c r="CM15" s="874">
        <v>1</v>
      </c>
      <c r="CN15" s="872"/>
      <c r="CO15" s="872"/>
      <c r="CP15" s="858">
        <v>0</v>
      </c>
      <c r="CQ15" s="872">
        <v>0</v>
      </c>
      <c r="CR15" s="872">
        <v>0</v>
      </c>
      <c r="CS15" s="874">
        <v>1</v>
      </c>
      <c r="CT15" s="872"/>
      <c r="CU15" s="871"/>
      <c r="CV15" s="858">
        <v>0</v>
      </c>
      <c r="CW15" s="872">
        <v>0</v>
      </c>
      <c r="CX15" s="872">
        <v>0</v>
      </c>
      <c r="CY15" s="874">
        <v>1</v>
      </c>
      <c r="CZ15" s="872"/>
      <c r="DA15" s="871"/>
      <c r="DB15" s="858">
        <v>0</v>
      </c>
      <c r="DC15" s="872">
        <v>0</v>
      </c>
      <c r="DD15" s="872">
        <v>0</v>
      </c>
      <c r="DE15" s="874">
        <v>1</v>
      </c>
      <c r="DF15" s="872"/>
      <c r="DG15" s="871"/>
      <c r="DH15" s="858">
        <v>0</v>
      </c>
      <c r="DI15" s="872">
        <v>0</v>
      </c>
      <c r="DJ15" s="872">
        <v>0</v>
      </c>
      <c r="DK15" s="874">
        <v>1</v>
      </c>
      <c r="DL15" s="872"/>
      <c r="DM15" s="871"/>
      <c r="DN15" s="858">
        <v>0</v>
      </c>
      <c r="DO15" s="872">
        <v>0</v>
      </c>
      <c r="DP15" s="872">
        <v>0</v>
      </c>
      <c r="DQ15" s="872">
        <v>0</v>
      </c>
    </row>
    <row r="16" s="861" customFormat="1" ht="12.9" customHeight="1" spans="1:121">
      <c r="A16" s="852">
        <v>14</v>
      </c>
      <c r="B16" s="853" t="s">
        <v>1345</v>
      </c>
      <c r="C16" s="858" t="s">
        <v>1346</v>
      </c>
      <c r="D16" s="873" t="s">
        <v>880</v>
      </c>
      <c r="E16" s="869">
        <v>3128.50670002776</v>
      </c>
      <c r="F16" s="870">
        <v>0.11</v>
      </c>
      <c r="G16" s="871">
        <v>0</v>
      </c>
      <c r="H16" s="872"/>
      <c r="I16" s="871"/>
      <c r="J16" s="858">
        <v>0</v>
      </c>
      <c r="K16" s="872">
        <v>0</v>
      </c>
      <c r="L16" s="872">
        <v>0</v>
      </c>
      <c r="M16" s="874">
        <v>0</v>
      </c>
      <c r="N16" s="872"/>
      <c r="O16" s="871"/>
      <c r="P16" s="858">
        <v>0</v>
      </c>
      <c r="Q16" s="872">
        <v>0</v>
      </c>
      <c r="R16" s="872">
        <v>0</v>
      </c>
      <c r="S16" s="874">
        <v>0</v>
      </c>
      <c r="T16" s="872"/>
      <c r="U16" s="871"/>
      <c r="V16" s="858">
        <v>0</v>
      </c>
      <c r="W16" s="872">
        <v>0</v>
      </c>
      <c r="X16" s="872">
        <v>0</v>
      </c>
      <c r="Y16" s="874">
        <v>0</v>
      </c>
      <c r="Z16" s="872"/>
      <c r="AA16" s="871"/>
      <c r="AB16" s="858">
        <v>0</v>
      </c>
      <c r="AC16" s="872">
        <v>0</v>
      </c>
      <c r="AD16" s="872">
        <v>0</v>
      </c>
      <c r="AE16" s="874">
        <v>0</v>
      </c>
      <c r="AF16" s="872"/>
      <c r="AG16" s="871"/>
      <c r="AH16" s="858">
        <v>0</v>
      </c>
      <c r="AI16" s="872">
        <v>0</v>
      </c>
      <c r="AJ16" s="872">
        <v>0</v>
      </c>
      <c r="AK16" s="874">
        <v>0</v>
      </c>
      <c r="AL16" s="872"/>
      <c r="AM16" s="871"/>
      <c r="AN16" s="858">
        <v>0</v>
      </c>
      <c r="AO16" s="872">
        <v>0</v>
      </c>
      <c r="AP16" s="872">
        <v>0</v>
      </c>
      <c r="AQ16" s="874">
        <v>0</v>
      </c>
      <c r="AR16" s="872"/>
      <c r="AS16" s="872"/>
      <c r="AT16" s="858">
        <v>0</v>
      </c>
      <c r="AU16" s="872">
        <v>0</v>
      </c>
      <c r="AV16" s="872">
        <v>0</v>
      </c>
      <c r="AW16" s="874">
        <v>0</v>
      </c>
      <c r="AX16" s="872"/>
      <c r="AY16" s="872"/>
      <c r="AZ16" s="858">
        <v>0</v>
      </c>
      <c r="BA16" s="872">
        <v>0</v>
      </c>
      <c r="BB16" s="872">
        <v>0</v>
      </c>
      <c r="BC16" s="874">
        <v>0</v>
      </c>
      <c r="BD16" s="872"/>
      <c r="BE16" s="871"/>
      <c r="BF16" s="858">
        <v>0</v>
      </c>
      <c r="BG16" s="872">
        <v>0</v>
      </c>
      <c r="BH16" s="872">
        <v>0</v>
      </c>
      <c r="BI16" s="874">
        <v>0</v>
      </c>
      <c r="BJ16" s="872"/>
      <c r="BK16" s="871"/>
      <c r="BL16" s="858">
        <v>0</v>
      </c>
      <c r="BM16" s="872">
        <v>0</v>
      </c>
      <c r="BN16" s="872">
        <v>0</v>
      </c>
      <c r="BO16" s="874">
        <v>0</v>
      </c>
      <c r="BP16" s="872"/>
      <c r="BQ16" s="871"/>
      <c r="BR16" s="858">
        <v>0</v>
      </c>
      <c r="BS16" s="872">
        <v>0</v>
      </c>
      <c r="BT16" s="872">
        <v>0</v>
      </c>
      <c r="BU16" s="874">
        <v>0</v>
      </c>
      <c r="BV16" s="858" t="s">
        <v>1440</v>
      </c>
      <c r="BW16" s="871">
        <v>0.7</v>
      </c>
      <c r="BX16" s="858">
        <v>2189.95469001943</v>
      </c>
      <c r="BY16" s="872">
        <v>1972.93215317066</v>
      </c>
      <c r="BZ16" s="872">
        <v>217.022536848773</v>
      </c>
      <c r="CA16" s="874">
        <v>0.7</v>
      </c>
      <c r="CB16" s="858"/>
      <c r="CC16" s="871"/>
      <c r="CD16" s="858">
        <v>0</v>
      </c>
      <c r="CE16" s="872">
        <v>0</v>
      </c>
      <c r="CF16" s="872">
        <v>0</v>
      </c>
      <c r="CG16" s="874">
        <v>0.7</v>
      </c>
      <c r="CH16" s="872"/>
      <c r="CI16" s="872"/>
      <c r="CJ16" s="858">
        <v>0</v>
      </c>
      <c r="CK16" s="872">
        <v>0</v>
      </c>
      <c r="CL16" s="872">
        <v>0</v>
      </c>
      <c r="CM16" s="874">
        <v>0.7</v>
      </c>
      <c r="CN16" s="872"/>
      <c r="CO16" s="872"/>
      <c r="CP16" s="858">
        <v>0</v>
      </c>
      <c r="CQ16" s="872">
        <v>0</v>
      </c>
      <c r="CR16" s="872">
        <v>0</v>
      </c>
      <c r="CS16" s="874">
        <v>0.7</v>
      </c>
      <c r="CT16" s="872"/>
      <c r="CU16" s="871"/>
      <c r="CV16" s="858">
        <v>0</v>
      </c>
      <c r="CW16" s="872">
        <v>0</v>
      </c>
      <c r="CX16" s="872">
        <v>0</v>
      </c>
      <c r="CY16" s="874">
        <v>0.7</v>
      </c>
      <c r="CZ16" s="858" t="s">
        <v>1442</v>
      </c>
      <c r="DA16" s="871">
        <v>0.3</v>
      </c>
      <c r="DB16" s="858">
        <v>938.552010008328</v>
      </c>
      <c r="DC16" s="872">
        <v>845.542351358854</v>
      </c>
      <c r="DD16" s="872">
        <v>93.009658649474</v>
      </c>
      <c r="DE16" s="874">
        <v>1</v>
      </c>
      <c r="DF16" s="872"/>
      <c r="DG16" s="871"/>
      <c r="DH16" s="858">
        <v>0</v>
      </c>
      <c r="DI16" s="872">
        <v>0</v>
      </c>
      <c r="DJ16" s="872">
        <v>0</v>
      </c>
      <c r="DK16" s="874">
        <v>1</v>
      </c>
      <c r="DL16" s="872"/>
      <c r="DM16" s="871"/>
      <c r="DN16" s="858">
        <v>0</v>
      </c>
      <c r="DO16" s="872">
        <v>0</v>
      </c>
      <c r="DP16" s="872">
        <v>0</v>
      </c>
      <c r="DQ16" s="872">
        <v>0</v>
      </c>
    </row>
    <row r="17" s="861" customFormat="1" ht="12.9" customHeight="1" spans="1:121">
      <c r="A17" s="852">
        <v>15</v>
      </c>
      <c r="B17" s="853" t="s">
        <v>1345</v>
      </c>
      <c r="C17" s="858" t="s">
        <v>1346</v>
      </c>
      <c r="D17" s="873" t="s">
        <v>928</v>
      </c>
      <c r="E17" s="869">
        <v>6357.45583032729</v>
      </c>
      <c r="F17" s="870">
        <v>0.11</v>
      </c>
      <c r="G17" s="871">
        <v>0</v>
      </c>
      <c r="H17" s="872"/>
      <c r="I17" s="871"/>
      <c r="J17" s="858">
        <v>0</v>
      </c>
      <c r="K17" s="872">
        <v>0</v>
      </c>
      <c r="L17" s="872">
        <v>0</v>
      </c>
      <c r="M17" s="874">
        <v>0</v>
      </c>
      <c r="N17" s="872"/>
      <c r="O17" s="871"/>
      <c r="P17" s="858">
        <v>0</v>
      </c>
      <c r="Q17" s="872">
        <v>0</v>
      </c>
      <c r="R17" s="872">
        <v>0</v>
      </c>
      <c r="S17" s="874">
        <v>0</v>
      </c>
      <c r="T17" s="872"/>
      <c r="U17" s="871"/>
      <c r="V17" s="858">
        <v>0</v>
      </c>
      <c r="W17" s="872">
        <v>0</v>
      </c>
      <c r="X17" s="872">
        <v>0</v>
      </c>
      <c r="Y17" s="874">
        <v>0</v>
      </c>
      <c r="Z17" s="872"/>
      <c r="AA17" s="871"/>
      <c r="AB17" s="858">
        <v>0</v>
      </c>
      <c r="AC17" s="872">
        <v>0</v>
      </c>
      <c r="AD17" s="872">
        <v>0</v>
      </c>
      <c r="AE17" s="874">
        <v>0</v>
      </c>
      <c r="AF17" s="872"/>
      <c r="AG17" s="871"/>
      <c r="AH17" s="858">
        <v>0</v>
      </c>
      <c r="AI17" s="872">
        <v>0</v>
      </c>
      <c r="AJ17" s="872">
        <v>0</v>
      </c>
      <c r="AK17" s="874">
        <v>0</v>
      </c>
      <c r="AL17" s="872"/>
      <c r="AM17" s="871"/>
      <c r="AN17" s="858">
        <v>0</v>
      </c>
      <c r="AO17" s="872">
        <v>0</v>
      </c>
      <c r="AP17" s="872">
        <v>0</v>
      </c>
      <c r="AQ17" s="874">
        <v>0</v>
      </c>
      <c r="AR17" s="872"/>
      <c r="AS17" s="872"/>
      <c r="AT17" s="858">
        <v>0</v>
      </c>
      <c r="AU17" s="872">
        <v>0</v>
      </c>
      <c r="AV17" s="872">
        <v>0</v>
      </c>
      <c r="AW17" s="874">
        <v>0</v>
      </c>
      <c r="AX17" s="872"/>
      <c r="AY17" s="872"/>
      <c r="AZ17" s="858">
        <v>0</v>
      </c>
      <c r="BA17" s="872">
        <v>0</v>
      </c>
      <c r="BB17" s="872">
        <v>0</v>
      </c>
      <c r="BC17" s="874">
        <v>0</v>
      </c>
      <c r="BD17" s="872"/>
      <c r="BE17" s="871"/>
      <c r="BF17" s="858">
        <v>0</v>
      </c>
      <c r="BG17" s="872">
        <v>0</v>
      </c>
      <c r="BH17" s="872">
        <v>0</v>
      </c>
      <c r="BI17" s="874">
        <v>0</v>
      </c>
      <c r="BJ17" s="872"/>
      <c r="BK17" s="871"/>
      <c r="BL17" s="858">
        <v>0</v>
      </c>
      <c r="BM17" s="872">
        <v>0</v>
      </c>
      <c r="BN17" s="872">
        <v>0</v>
      </c>
      <c r="BO17" s="874">
        <v>0</v>
      </c>
      <c r="BP17" s="872"/>
      <c r="BQ17" s="871"/>
      <c r="BR17" s="858">
        <v>0</v>
      </c>
      <c r="BS17" s="872">
        <v>0</v>
      </c>
      <c r="BT17" s="872">
        <v>0</v>
      </c>
      <c r="BU17" s="874">
        <v>0</v>
      </c>
      <c r="BV17" s="858" t="s">
        <v>1440</v>
      </c>
      <c r="BW17" s="871">
        <v>0.8</v>
      </c>
      <c r="BX17" s="858">
        <v>5085.96466426183</v>
      </c>
      <c r="BY17" s="872">
        <v>4581.95014798363</v>
      </c>
      <c r="BZ17" s="872">
        <v>504.0145162782</v>
      </c>
      <c r="CA17" s="874">
        <v>0.8</v>
      </c>
      <c r="CB17" s="872"/>
      <c r="CC17" s="871"/>
      <c r="CD17" s="858">
        <v>0</v>
      </c>
      <c r="CE17" s="872">
        <v>0</v>
      </c>
      <c r="CF17" s="872">
        <v>0</v>
      </c>
      <c r="CG17" s="874">
        <v>0.8</v>
      </c>
      <c r="CH17" s="872"/>
      <c r="CI17" s="872"/>
      <c r="CJ17" s="858">
        <v>0</v>
      </c>
      <c r="CK17" s="872">
        <v>0</v>
      </c>
      <c r="CL17" s="872">
        <v>0</v>
      </c>
      <c r="CM17" s="874">
        <v>0.8</v>
      </c>
      <c r="CN17" s="872"/>
      <c r="CO17" s="872"/>
      <c r="CP17" s="858">
        <v>0</v>
      </c>
      <c r="CQ17" s="872">
        <v>0</v>
      </c>
      <c r="CR17" s="872">
        <v>0</v>
      </c>
      <c r="CS17" s="874">
        <v>0.8</v>
      </c>
      <c r="CT17" s="872"/>
      <c r="CU17" s="871"/>
      <c r="CV17" s="858">
        <v>0</v>
      </c>
      <c r="CW17" s="872">
        <v>0</v>
      </c>
      <c r="CX17" s="872">
        <v>0</v>
      </c>
      <c r="CY17" s="874">
        <v>0.8</v>
      </c>
      <c r="CZ17" s="858" t="s">
        <v>1442</v>
      </c>
      <c r="DA17" s="871">
        <v>0.2</v>
      </c>
      <c r="DB17" s="858">
        <v>1271.49116606546</v>
      </c>
      <c r="DC17" s="872">
        <v>1145.48753699591</v>
      </c>
      <c r="DD17" s="872">
        <v>126.00362906955</v>
      </c>
      <c r="DE17" s="874">
        <v>1</v>
      </c>
      <c r="DF17" s="872"/>
      <c r="DG17" s="871"/>
      <c r="DH17" s="858">
        <v>0</v>
      </c>
      <c r="DI17" s="872">
        <v>0</v>
      </c>
      <c r="DJ17" s="872">
        <v>0</v>
      </c>
      <c r="DK17" s="874">
        <v>1</v>
      </c>
      <c r="DL17" s="872"/>
      <c r="DM17" s="871"/>
      <c r="DN17" s="858">
        <v>0</v>
      </c>
      <c r="DO17" s="872">
        <v>0</v>
      </c>
      <c r="DP17" s="872">
        <v>0</v>
      </c>
      <c r="DQ17" s="872">
        <v>0</v>
      </c>
    </row>
    <row r="18" s="861" customFormat="1" ht="12.9" customHeight="1" spans="1:121">
      <c r="A18" s="852">
        <v>16</v>
      </c>
      <c r="B18" s="853" t="s">
        <v>1345</v>
      </c>
      <c r="C18" s="858" t="s">
        <v>1346</v>
      </c>
      <c r="D18" s="873" t="s">
        <v>904</v>
      </c>
      <c r="E18" s="869">
        <v>0</v>
      </c>
      <c r="F18" s="870">
        <v>0.11</v>
      </c>
      <c r="G18" s="871">
        <v>0</v>
      </c>
      <c r="H18" s="872"/>
      <c r="I18" s="871"/>
      <c r="J18" s="858">
        <v>0</v>
      </c>
      <c r="K18" s="872">
        <v>0</v>
      </c>
      <c r="L18" s="872">
        <v>0</v>
      </c>
      <c r="M18" s="874">
        <v>0</v>
      </c>
      <c r="N18" s="872"/>
      <c r="O18" s="871"/>
      <c r="P18" s="858">
        <v>0</v>
      </c>
      <c r="Q18" s="872">
        <v>0</v>
      </c>
      <c r="R18" s="872">
        <v>0</v>
      </c>
      <c r="S18" s="874">
        <v>0</v>
      </c>
      <c r="T18" s="872"/>
      <c r="U18" s="871"/>
      <c r="V18" s="858">
        <v>0</v>
      </c>
      <c r="W18" s="872">
        <v>0</v>
      </c>
      <c r="X18" s="872">
        <v>0</v>
      </c>
      <c r="Y18" s="874">
        <v>0</v>
      </c>
      <c r="Z18" s="872"/>
      <c r="AA18" s="871"/>
      <c r="AB18" s="858">
        <v>0</v>
      </c>
      <c r="AC18" s="872">
        <v>0</v>
      </c>
      <c r="AD18" s="872">
        <v>0</v>
      </c>
      <c r="AE18" s="874">
        <v>0</v>
      </c>
      <c r="AF18" s="872"/>
      <c r="AG18" s="871"/>
      <c r="AH18" s="858">
        <v>0</v>
      </c>
      <c r="AI18" s="872">
        <v>0</v>
      </c>
      <c r="AJ18" s="872">
        <v>0</v>
      </c>
      <c r="AK18" s="874">
        <v>0</v>
      </c>
      <c r="AL18" s="858"/>
      <c r="AM18" s="871"/>
      <c r="AN18" s="858">
        <v>0</v>
      </c>
      <c r="AO18" s="872">
        <v>0</v>
      </c>
      <c r="AP18" s="872">
        <v>0</v>
      </c>
      <c r="AQ18" s="874">
        <v>0</v>
      </c>
      <c r="AR18" s="872"/>
      <c r="AS18" s="872"/>
      <c r="AT18" s="858">
        <v>0</v>
      </c>
      <c r="AU18" s="872">
        <v>0</v>
      </c>
      <c r="AV18" s="872">
        <v>0</v>
      </c>
      <c r="AW18" s="874">
        <v>0</v>
      </c>
      <c r="AX18" s="872"/>
      <c r="AY18" s="872"/>
      <c r="AZ18" s="858">
        <v>0</v>
      </c>
      <c r="BA18" s="872">
        <v>0</v>
      </c>
      <c r="BB18" s="872">
        <v>0</v>
      </c>
      <c r="BC18" s="874">
        <v>0</v>
      </c>
      <c r="BD18" s="872"/>
      <c r="BE18" s="871"/>
      <c r="BF18" s="858">
        <v>0</v>
      </c>
      <c r="BG18" s="872">
        <v>0</v>
      </c>
      <c r="BH18" s="872">
        <v>0</v>
      </c>
      <c r="BI18" s="874">
        <v>0</v>
      </c>
      <c r="BJ18" s="872"/>
      <c r="BK18" s="871"/>
      <c r="BL18" s="858">
        <v>0</v>
      </c>
      <c r="BM18" s="872">
        <v>0</v>
      </c>
      <c r="BN18" s="872">
        <v>0</v>
      </c>
      <c r="BO18" s="874">
        <v>0</v>
      </c>
      <c r="BP18" s="872"/>
      <c r="BQ18" s="871"/>
      <c r="BR18" s="858">
        <v>0</v>
      </c>
      <c r="BS18" s="872">
        <v>0</v>
      </c>
      <c r="BT18" s="872">
        <v>0</v>
      </c>
      <c r="BU18" s="874">
        <v>0</v>
      </c>
      <c r="BV18" s="858" t="s">
        <v>1440</v>
      </c>
      <c r="BW18" s="871">
        <v>0.7</v>
      </c>
      <c r="BX18" s="858">
        <v>0</v>
      </c>
      <c r="BY18" s="872">
        <v>0</v>
      </c>
      <c r="BZ18" s="872">
        <v>0</v>
      </c>
      <c r="CA18" s="874">
        <v>0.7</v>
      </c>
      <c r="CB18" s="872"/>
      <c r="CC18" s="871"/>
      <c r="CD18" s="858">
        <v>0</v>
      </c>
      <c r="CE18" s="872">
        <v>0</v>
      </c>
      <c r="CF18" s="872">
        <v>0</v>
      </c>
      <c r="CG18" s="874">
        <v>0.7</v>
      </c>
      <c r="CH18" s="872"/>
      <c r="CI18" s="872"/>
      <c r="CJ18" s="858">
        <v>0</v>
      </c>
      <c r="CK18" s="872">
        <v>0</v>
      </c>
      <c r="CL18" s="872">
        <v>0</v>
      </c>
      <c r="CM18" s="874">
        <v>0.7</v>
      </c>
      <c r="CN18" s="872"/>
      <c r="CO18" s="872"/>
      <c r="CP18" s="858">
        <v>0</v>
      </c>
      <c r="CQ18" s="872">
        <v>0</v>
      </c>
      <c r="CR18" s="872">
        <v>0</v>
      </c>
      <c r="CS18" s="874">
        <v>0.7</v>
      </c>
      <c r="CT18" s="872"/>
      <c r="CU18" s="871"/>
      <c r="CV18" s="858">
        <v>0</v>
      </c>
      <c r="CW18" s="872">
        <v>0</v>
      </c>
      <c r="CX18" s="872">
        <v>0</v>
      </c>
      <c r="CY18" s="874">
        <v>0.7</v>
      </c>
      <c r="CZ18" s="858" t="s">
        <v>1442</v>
      </c>
      <c r="DA18" s="871">
        <v>0.3</v>
      </c>
      <c r="DB18" s="858">
        <v>0</v>
      </c>
      <c r="DC18" s="872">
        <v>0</v>
      </c>
      <c r="DD18" s="872">
        <v>0</v>
      </c>
      <c r="DE18" s="874">
        <v>1</v>
      </c>
      <c r="DF18" s="872"/>
      <c r="DG18" s="871"/>
      <c r="DH18" s="858">
        <v>0</v>
      </c>
      <c r="DI18" s="872">
        <v>0</v>
      </c>
      <c r="DJ18" s="872">
        <v>0</v>
      </c>
      <c r="DK18" s="874">
        <v>1</v>
      </c>
      <c r="DL18" s="872"/>
      <c r="DM18" s="871"/>
      <c r="DN18" s="858">
        <v>0</v>
      </c>
      <c r="DO18" s="872">
        <v>0</v>
      </c>
      <c r="DP18" s="872">
        <v>0</v>
      </c>
      <c r="DQ18" s="872">
        <v>0</v>
      </c>
    </row>
    <row r="19" s="861" customFormat="1" ht="12.9" customHeight="1" spans="1:121">
      <c r="A19" s="852">
        <v>17</v>
      </c>
      <c r="B19" s="853" t="s">
        <v>1345</v>
      </c>
      <c r="C19" s="853" t="s">
        <v>1348</v>
      </c>
      <c r="D19" s="873" t="s">
        <v>774</v>
      </c>
      <c r="E19" s="869">
        <v>52536.1305043966</v>
      </c>
      <c r="F19" s="870">
        <v>0.11</v>
      </c>
      <c r="G19" s="871">
        <v>0</v>
      </c>
      <c r="H19" s="872"/>
      <c r="I19" s="871"/>
      <c r="J19" s="858">
        <v>0</v>
      </c>
      <c r="K19" s="872">
        <v>0</v>
      </c>
      <c r="L19" s="872">
        <v>0</v>
      </c>
      <c r="M19" s="874">
        <v>0</v>
      </c>
      <c r="N19" s="872"/>
      <c r="O19" s="871"/>
      <c r="P19" s="858">
        <v>0</v>
      </c>
      <c r="Q19" s="872">
        <v>0</v>
      </c>
      <c r="R19" s="872">
        <v>0</v>
      </c>
      <c r="S19" s="874">
        <v>0</v>
      </c>
      <c r="T19" s="872"/>
      <c r="U19" s="871"/>
      <c r="V19" s="858">
        <v>0</v>
      </c>
      <c r="W19" s="872">
        <v>0</v>
      </c>
      <c r="X19" s="872">
        <v>0</v>
      </c>
      <c r="Y19" s="874">
        <v>0</v>
      </c>
      <c r="Z19" s="858" t="s">
        <v>1441</v>
      </c>
      <c r="AA19" s="871">
        <v>0.1</v>
      </c>
      <c r="AB19" s="858">
        <v>5253.61305043966</v>
      </c>
      <c r="AC19" s="872">
        <v>4732.98473012582</v>
      </c>
      <c r="AD19" s="872">
        <v>520.62832031384</v>
      </c>
      <c r="AE19" s="874">
        <v>0.1</v>
      </c>
      <c r="AF19" s="872"/>
      <c r="AG19" s="871"/>
      <c r="AH19" s="858">
        <v>0</v>
      </c>
      <c r="AI19" s="872">
        <v>0</v>
      </c>
      <c r="AJ19" s="872">
        <v>0</v>
      </c>
      <c r="AK19" s="874">
        <v>0.1</v>
      </c>
      <c r="AL19" s="858" t="s">
        <v>1441</v>
      </c>
      <c r="AM19" s="871">
        <v>0.1</v>
      </c>
      <c r="AN19" s="858">
        <v>5253.61305043966</v>
      </c>
      <c r="AO19" s="872">
        <v>4732.98473012582</v>
      </c>
      <c r="AP19" s="872">
        <v>520.62832031384</v>
      </c>
      <c r="AQ19" s="874">
        <v>0.2</v>
      </c>
      <c r="AR19" s="872"/>
      <c r="AS19" s="872"/>
      <c r="AT19" s="858">
        <v>0</v>
      </c>
      <c r="AU19" s="872">
        <v>0</v>
      </c>
      <c r="AV19" s="872">
        <v>0</v>
      </c>
      <c r="AW19" s="874">
        <v>0.2</v>
      </c>
      <c r="AX19" s="872"/>
      <c r="AY19" s="872"/>
      <c r="AZ19" s="858">
        <v>0</v>
      </c>
      <c r="BA19" s="872">
        <v>0</v>
      </c>
      <c r="BB19" s="872">
        <v>0</v>
      </c>
      <c r="BC19" s="874">
        <v>0.2</v>
      </c>
      <c r="BD19" s="858" t="s">
        <v>1441</v>
      </c>
      <c r="BE19" s="871">
        <v>0.1</v>
      </c>
      <c r="BF19" s="858">
        <v>5253.61305043966</v>
      </c>
      <c r="BG19" s="872">
        <v>4732.98473012582</v>
      </c>
      <c r="BH19" s="872">
        <v>520.62832031384</v>
      </c>
      <c r="BI19" s="874">
        <v>0.3</v>
      </c>
      <c r="BJ19" s="858" t="s">
        <v>1441</v>
      </c>
      <c r="BK19" s="871">
        <v>0.3</v>
      </c>
      <c r="BL19" s="858">
        <v>15760.839151319</v>
      </c>
      <c r="BM19" s="872">
        <v>14198.9541903774</v>
      </c>
      <c r="BN19" s="872">
        <v>1561.88496094152</v>
      </c>
      <c r="BO19" s="874">
        <v>0.6</v>
      </c>
      <c r="BP19" s="858" t="s">
        <v>1441</v>
      </c>
      <c r="BQ19" s="871">
        <v>0.2</v>
      </c>
      <c r="BR19" s="858">
        <v>10507.2261008793</v>
      </c>
      <c r="BS19" s="872">
        <v>9465.96946025163</v>
      </c>
      <c r="BT19" s="872">
        <v>1041.25664062768</v>
      </c>
      <c r="BU19" s="874">
        <v>0.8</v>
      </c>
      <c r="BV19" s="872"/>
      <c r="BW19" s="871"/>
      <c r="BX19" s="858">
        <v>0</v>
      </c>
      <c r="BY19" s="872">
        <v>0</v>
      </c>
      <c r="BZ19" s="872">
        <v>0</v>
      </c>
      <c r="CA19" s="874">
        <v>0.8</v>
      </c>
      <c r="CB19" s="872"/>
      <c r="CC19" s="871"/>
      <c r="CD19" s="858">
        <v>0</v>
      </c>
      <c r="CE19" s="872">
        <v>0</v>
      </c>
      <c r="CF19" s="872">
        <v>0</v>
      </c>
      <c r="CG19" s="874">
        <v>0.8</v>
      </c>
      <c r="CH19" s="872"/>
      <c r="CI19" s="872"/>
      <c r="CJ19" s="858">
        <v>0</v>
      </c>
      <c r="CK19" s="872">
        <v>0</v>
      </c>
      <c r="CL19" s="872">
        <v>0</v>
      </c>
      <c r="CM19" s="874">
        <v>0.8</v>
      </c>
      <c r="CN19" s="872"/>
      <c r="CO19" s="872"/>
      <c r="CP19" s="858">
        <v>0</v>
      </c>
      <c r="CQ19" s="872">
        <v>0</v>
      </c>
      <c r="CR19" s="872">
        <v>0</v>
      </c>
      <c r="CS19" s="874">
        <v>0.8</v>
      </c>
      <c r="CT19" s="872"/>
      <c r="CU19" s="871"/>
      <c r="CV19" s="858">
        <v>0</v>
      </c>
      <c r="CW19" s="872">
        <v>0</v>
      </c>
      <c r="CX19" s="872">
        <v>0</v>
      </c>
      <c r="CY19" s="874">
        <v>0.8</v>
      </c>
      <c r="CZ19" s="872"/>
      <c r="DA19" s="871"/>
      <c r="DB19" s="858">
        <v>0</v>
      </c>
      <c r="DC19" s="872">
        <v>0</v>
      </c>
      <c r="DD19" s="872">
        <v>0</v>
      </c>
      <c r="DE19" s="874">
        <v>0.8</v>
      </c>
      <c r="DF19" s="858" t="s">
        <v>1442</v>
      </c>
      <c r="DG19" s="871">
        <v>0.15</v>
      </c>
      <c r="DH19" s="858">
        <v>7880.41957565948</v>
      </c>
      <c r="DI19" s="872">
        <v>7099.47709518872</v>
      </c>
      <c r="DJ19" s="872">
        <v>780.942480470761</v>
      </c>
      <c r="DK19" s="874">
        <v>0.95</v>
      </c>
      <c r="DL19" s="858" t="s">
        <v>1443</v>
      </c>
      <c r="DM19" s="871">
        <v>0.05</v>
      </c>
      <c r="DN19" s="858">
        <v>2626.80652521983</v>
      </c>
      <c r="DO19" s="872">
        <v>2366.49236506291</v>
      </c>
      <c r="DP19" s="872">
        <v>260.31416015692</v>
      </c>
      <c r="DQ19" s="872">
        <v>0</v>
      </c>
    </row>
    <row r="20" s="861" customFormat="1" ht="14.25" customHeight="1" spans="1:121">
      <c r="A20" s="852">
        <v>18</v>
      </c>
      <c r="B20" s="853" t="s">
        <v>1345</v>
      </c>
      <c r="C20" s="853" t="s">
        <v>1349</v>
      </c>
      <c r="D20" s="766" t="s">
        <v>1350</v>
      </c>
      <c r="E20" s="869">
        <v>0</v>
      </c>
      <c r="F20" s="870">
        <v>0.11</v>
      </c>
      <c r="G20" s="871">
        <v>0</v>
      </c>
      <c r="H20" s="872"/>
      <c r="I20" s="871"/>
      <c r="J20" s="858">
        <v>0</v>
      </c>
      <c r="K20" s="872">
        <v>0</v>
      </c>
      <c r="L20" s="872">
        <v>0</v>
      </c>
      <c r="M20" s="874">
        <v>0</v>
      </c>
      <c r="N20" s="872"/>
      <c r="O20" s="871"/>
      <c r="P20" s="858">
        <v>0</v>
      </c>
      <c r="Q20" s="872">
        <v>0</v>
      </c>
      <c r="R20" s="872">
        <v>0</v>
      </c>
      <c r="S20" s="874">
        <v>0</v>
      </c>
      <c r="T20" s="872"/>
      <c r="U20" s="871"/>
      <c r="V20" s="858">
        <v>0</v>
      </c>
      <c r="W20" s="872">
        <v>0</v>
      </c>
      <c r="X20" s="872">
        <v>0</v>
      </c>
      <c r="Y20" s="874">
        <v>0</v>
      </c>
      <c r="Z20" s="872"/>
      <c r="AA20" s="871"/>
      <c r="AB20" s="858">
        <v>0</v>
      </c>
      <c r="AC20" s="872">
        <v>0</v>
      </c>
      <c r="AD20" s="872">
        <v>0</v>
      </c>
      <c r="AE20" s="874">
        <v>0</v>
      </c>
      <c r="AF20" s="872"/>
      <c r="AG20" s="871"/>
      <c r="AH20" s="858">
        <v>0</v>
      </c>
      <c r="AI20" s="872">
        <v>0</v>
      </c>
      <c r="AJ20" s="872">
        <v>0</v>
      </c>
      <c r="AK20" s="874">
        <v>0</v>
      </c>
      <c r="AL20" s="872"/>
      <c r="AM20" s="871"/>
      <c r="AN20" s="858">
        <v>0</v>
      </c>
      <c r="AO20" s="872">
        <v>0</v>
      </c>
      <c r="AP20" s="872">
        <v>0</v>
      </c>
      <c r="AQ20" s="874">
        <v>0</v>
      </c>
      <c r="AR20" s="872"/>
      <c r="AS20" s="872"/>
      <c r="AT20" s="858">
        <v>0</v>
      </c>
      <c r="AU20" s="872">
        <v>0</v>
      </c>
      <c r="AV20" s="872">
        <v>0</v>
      </c>
      <c r="AW20" s="874">
        <v>0</v>
      </c>
      <c r="AX20" s="872"/>
      <c r="AY20" s="872"/>
      <c r="AZ20" s="858">
        <v>0</v>
      </c>
      <c r="BA20" s="872">
        <v>0</v>
      </c>
      <c r="BB20" s="872">
        <v>0</v>
      </c>
      <c r="BC20" s="874">
        <v>0</v>
      </c>
      <c r="BD20" s="872"/>
      <c r="BE20" s="871"/>
      <c r="BF20" s="858">
        <v>0</v>
      </c>
      <c r="BG20" s="872">
        <v>0</v>
      </c>
      <c r="BH20" s="872">
        <v>0</v>
      </c>
      <c r="BI20" s="874">
        <v>0</v>
      </c>
      <c r="BJ20" s="872"/>
      <c r="BK20" s="871"/>
      <c r="BL20" s="858">
        <v>0</v>
      </c>
      <c r="BM20" s="872">
        <v>0</v>
      </c>
      <c r="BN20" s="872">
        <v>0</v>
      </c>
      <c r="BO20" s="874">
        <v>0</v>
      </c>
      <c r="BP20" s="872"/>
      <c r="BQ20" s="871"/>
      <c r="BR20" s="858">
        <v>0</v>
      </c>
      <c r="BS20" s="872">
        <v>0</v>
      </c>
      <c r="BT20" s="872">
        <v>0</v>
      </c>
      <c r="BU20" s="874">
        <v>0</v>
      </c>
      <c r="BV20" s="872"/>
      <c r="BW20" s="871"/>
      <c r="BX20" s="858">
        <v>0</v>
      </c>
      <c r="BY20" s="872">
        <v>0</v>
      </c>
      <c r="BZ20" s="872">
        <v>0</v>
      </c>
      <c r="CA20" s="874">
        <v>0</v>
      </c>
      <c r="CB20" s="872"/>
      <c r="CC20" s="871"/>
      <c r="CD20" s="858">
        <v>0</v>
      </c>
      <c r="CE20" s="872">
        <v>0</v>
      </c>
      <c r="CF20" s="872">
        <v>0</v>
      </c>
      <c r="CG20" s="874">
        <v>0</v>
      </c>
      <c r="CH20" s="872"/>
      <c r="CI20" s="872"/>
      <c r="CJ20" s="858">
        <v>0</v>
      </c>
      <c r="CK20" s="872">
        <v>0</v>
      </c>
      <c r="CL20" s="872">
        <v>0</v>
      </c>
      <c r="CM20" s="874">
        <v>0</v>
      </c>
      <c r="CN20" s="872"/>
      <c r="CO20" s="872"/>
      <c r="CP20" s="858">
        <v>0</v>
      </c>
      <c r="CQ20" s="872">
        <v>0</v>
      </c>
      <c r="CR20" s="872">
        <v>0</v>
      </c>
      <c r="CS20" s="874">
        <v>0</v>
      </c>
      <c r="CT20" s="858" t="s">
        <v>1441</v>
      </c>
      <c r="CU20" s="871">
        <v>0.8</v>
      </c>
      <c r="CV20" s="858">
        <v>0</v>
      </c>
      <c r="CW20" s="872">
        <v>0</v>
      </c>
      <c r="CX20" s="872">
        <v>0</v>
      </c>
      <c r="CY20" s="874">
        <v>0.8</v>
      </c>
      <c r="CZ20" s="872"/>
      <c r="DA20" s="871"/>
      <c r="DB20" s="858">
        <v>0</v>
      </c>
      <c r="DC20" s="872">
        <v>0</v>
      </c>
      <c r="DD20" s="872">
        <v>0</v>
      </c>
      <c r="DE20" s="874">
        <v>0.8</v>
      </c>
      <c r="DF20" s="858" t="s">
        <v>1442</v>
      </c>
      <c r="DG20" s="871">
        <v>0.15</v>
      </c>
      <c r="DH20" s="858">
        <v>0</v>
      </c>
      <c r="DI20" s="872">
        <v>0</v>
      </c>
      <c r="DJ20" s="872">
        <v>0</v>
      </c>
      <c r="DK20" s="874">
        <v>0.95</v>
      </c>
      <c r="DL20" s="872"/>
      <c r="DM20" s="871"/>
      <c r="DN20" s="858">
        <v>0</v>
      </c>
      <c r="DO20" s="872">
        <v>0</v>
      </c>
      <c r="DP20" s="872">
        <v>0</v>
      </c>
      <c r="DQ20" s="872">
        <v>0</v>
      </c>
    </row>
    <row r="21" s="861" customFormat="1" ht="14.25" customHeight="1" spans="1:121">
      <c r="A21" s="852">
        <v>19</v>
      </c>
      <c r="B21" s="853" t="s">
        <v>1345</v>
      </c>
      <c r="C21" s="853" t="s">
        <v>1346</v>
      </c>
      <c r="D21" s="859" t="s">
        <v>812</v>
      </c>
      <c r="E21" s="869">
        <v>0</v>
      </c>
      <c r="F21" s="870">
        <v>0.17</v>
      </c>
      <c r="G21" s="871">
        <v>0</v>
      </c>
      <c r="H21" s="872"/>
      <c r="I21" s="871"/>
      <c r="J21" s="858">
        <v>0</v>
      </c>
      <c r="K21" s="872">
        <v>0</v>
      </c>
      <c r="L21" s="872">
        <v>0</v>
      </c>
      <c r="M21" s="874">
        <v>0</v>
      </c>
      <c r="N21" s="872"/>
      <c r="O21" s="871"/>
      <c r="P21" s="858">
        <v>0</v>
      </c>
      <c r="Q21" s="872">
        <v>0</v>
      </c>
      <c r="R21" s="872">
        <v>0</v>
      </c>
      <c r="S21" s="874">
        <v>0</v>
      </c>
      <c r="T21" s="872"/>
      <c r="U21" s="871"/>
      <c r="V21" s="858">
        <v>0</v>
      </c>
      <c r="W21" s="872">
        <v>0</v>
      </c>
      <c r="X21" s="872">
        <v>0</v>
      </c>
      <c r="Y21" s="874">
        <v>0</v>
      </c>
      <c r="Z21" s="872"/>
      <c r="AA21" s="871"/>
      <c r="AB21" s="858">
        <v>0</v>
      </c>
      <c r="AC21" s="872">
        <v>0</v>
      </c>
      <c r="AD21" s="872">
        <v>0</v>
      </c>
      <c r="AE21" s="874">
        <v>0</v>
      </c>
      <c r="AF21" s="872"/>
      <c r="AG21" s="871"/>
      <c r="AH21" s="858">
        <v>0</v>
      </c>
      <c r="AI21" s="872">
        <v>0</v>
      </c>
      <c r="AJ21" s="872">
        <v>0</v>
      </c>
      <c r="AK21" s="874">
        <v>0</v>
      </c>
      <c r="AL21" s="858" t="s">
        <v>1441</v>
      </c>
      <c r="AM21" s="871">
        <v>0.35</v>
      </c>
      <c r="AN21" s="858">
        <v>0</v>
      </c>
      <c r="AO21" s="872">
        <v>0</v>
      </c>
      <c r="AP21" s="872">
        <v>0</v>
      </c>
      <c r="AQ21" s="874">
        <v>0.35</v>
      </c>
      <c r="AR21" s="872"/>
      <c r="AS21" s="872"/>
      <c r="AT21" s="858">
        <v>0</v>
      </c>
      <c r="AU21" s="872">
        <v>0</v>
      </c>
      <c r="AV21" s="872">
        <v>0</v>
      </c>
      <c r="AW21" s="874">
        <v>0.35</v>
      </c>
      <c r="AX21" s="872"/>
      <c r="AY21" s="872"/>
      <c r="AZ21" s="858">
        <v>0</v>
      </c>
      <c r="BA21" s="872">
        <v>0</v>
      </c>
      <c r="BB21" s="872">
        <v>0</v>
      </c>
      <c r="BC21" s="874">
        <v>0.35</v>
      </c>
      <c r="BD21" s="872"/>
      <c r="BE21" s="871"/>
      <c r="BF21" s="858">
        <v>0</v>
      </c>
      <c r="BG21" s="872">
        <v>0</v>
      </c>
      <c r="BH21" s="872">
        <v>0</v>
      </c>
      <c r="BI21" s="874">
        <v>0.35</v>
      </c>
      <c r="BJ21" s="858" t="s">
        <v>1441</v>
      </c>
      <c r="BK21" s="871">
        <v>0.35</v>
      </c>
      <c r="BL21" s="858">
        <v>0</v>
      </c>
      <c r="BM21" s="872">
        <v>0</v>
      </c>
      <c r="BN21" s="872">
        <v>0</v>
      </c>
      <c r="BO21" s="874">
        <v>0.7</v>
      </c>
      <c r="BP21" s="858" t="s">
        <v>1441</v>
      </c>
      <c r="BQ21" s="871">
        <v>0.1</v>
      </c>
      <c r="BR21" s="858">
        <v>0</v>
      </c>
      <c r="BS21" s="872">
        <v>0</v>
      </c>
      <c r="BT21" s="872">
        <v>0</v>
      </c>
      <c r="BU21" s="874">
        <v>0.8</v>
      </c>
      <c r="BV21" s="872"/>
      <c r="BW21" s="871"/>
      <c r="BX21" s="858">
        <v>0</v>
      </c>
      <c r="BY21" s="872">
        <v>0</v>
      </c>
      <c r="BZ21" s="872">
        <v>0</v>
      </c>
      <c r="CA21" s="874">
        <v>0.8</v>
      </c>
      <c r="CB21" s="872"/>
      <c r="CC21" s="871"/>
      <c r="CD21" s="858">
        <v>0</v>
      </c>
      <c r="CE21" s="872">
        <v>0</v>
      </c>
      <c r="CF21" s="872">
        <v>0</v>
      </c>
      <c r="CG21" s="874">
        <v>0.8</v>
      </c>
      <c r="CH21" s="872"/>
      <c r="CI21" s="872"/>
      <c r="CJ21" s="858">
        <v>0</v>
      </c>
      <c r="CK21" s="872">
        <v>0</v>
      </c>
      <c r="CL21" s="872">
        <v>0</v>
      </c>
      <c r="CM21" s="874">
        <v>0.8</v>
      </c>
      <c r="CN21" s="872"/>
      <c r="CO21" s="872"/>
      <c r="CP21" s="858">
        <v>0</v>
      </c>
      <c r="CQ21" s="872">
        <v>0</v>
      </c>
      <c r="CR21" s="872">
        <v>0</v>
      </c>
      <c r="CS21" s="874">
        <v>0.8</v>
      </c>
      <c r="CT21" s="872"/>
      <c r="CU21" s="871"/>
      <c r="CV21" s="858">
        <v>0</v>
      </c>
      <c r="CW21" s="872">
        <v>0</v>
      </c>
      <c r="CX21" s="872">
        <v>0</v>
      </c>
      <c r="CY21" s="874">
        <v>0.8</v>
      </c>
      <c r="CZ21" s="872"/>
      <c r="DA21" s="871"/>
      <c r="DB21" s="858">
        <v>0</v>
      </c>
      <c r="DC21" s="872">
        <v>0</v>
      </c>
      <c r="DD21" s="872">
        <v>0</v>
      </c>
      <c r="DE21" s="874">
        <v>0.8</v>
      </c>
      <c r="DF21" s="858" t="s">
        <v>1442</v>
      </c>
      <c r="DG21" s="871">
        <v>0.2</v>
      </c>
      <c r="DH21" s="858">
        <v>0</v>
      </c>
      <c r="DI21" s="872">
        <v>0</v>
      </c>
      <c r="DJ21" s="872">
        <v>0</v>
      </c>
      <c r="DK21" s="874">
        <v>1</v>
      </c>
      <c r="DL21" s="872"/>
      <c r="DM21" s="871"/>
      <c r="DN21" s="858">
        <v>0</v>
      </c>
      <c r="DO21" s="872">
        <v>0</v>
      </c>
      <c r="DP21" s="872">
        <v>0</v>
      </c>
      <c r="DQ21" s="872">
        <v>0</v>
      </c>
    </row>
    <row r="22" s="861" customFormat="1" ht="14.25" customHeight="1" spans="1:121">
      <c r="A22" s="852">
        <v>20</v>
      </c>
      <c r="B22" s="853" t="s">
        <v>1345</v>
      </c>
      <c r="C22" s="853" t="s">
        <v>1351</v>
      </c>
      <c r="D22" s="873" t="s">
        <v>826</v>
      </c>
      <c r="E22" s="869">
        <v>1085.53566771</v>
      </c>
      <c r="F22" s="870">
        <v>0.11</v>
      </c>
      <c r="G22" s="871">
        <v>0</v>
      </c>
      <c r="H22" s="872"/>
      <c r="I22" s="871"/>
      <c r="J22" s="858">
        <v>0</v>
      </c>
      <c r="K22" s="872">
        <v>0</v>
      </c>
      <c r="L22" s="872">
        <v>0</v>
      </c>
      <c r="M22" s="874">
        <v>0</v>
      </c>
      <c r="N22" s="872"/>
      <c r="O22" s="871"/>
      <c r="P22" s="858">
        <v>0</v>
      </c>
      <c r="Q22" s="872">
        <v>0</v>
      </c>
      <c r="R22" s="872">
        <v>0</v>
      </c>
      <c r="S22" s="874">
        <v>0</v>
      </c>
      <c r="T22" s="872"/>
      <c r="U22" s="871"/>
      <c r="V22" s="858">
        <v>0</v>
      </c>
      <c r="W22" s="872">
        <v>0</v>
      </c>
      <c r="X22" s="872">
        <v>0</v>
      </c>
      <c r="Y22" s="874">
        <v>0</v>
      </c>
      <c r="Z22" s="858" t="s">
        <v>1441</v>
      </c>
      <c r="AA22" s="871">
        <v>0.8</v>
      </c>
      <c r="AB22" s="858">
        <v>868.428534168</v>
      </c>
      <c r="AC22" s="872">
        <v>782.3680488</v>
      </c>
      <c r="AD22" s="872">
        <v>86.0604853680001</v>
      </c>
      <c r="AE22" s="874">
        <v>0.8</v>
      </c>
      <c r="AF22" s="872"/>
      <c r="AG22" s="871"/>
      <c r="AH22" s="858">
        <v>0</v>
      </c>
      <c r="AI22" s="872">
        <v>0</v>
      </c>
      <c r="AJ22" s="872">
        <v>0</v>
      </c>
      <c r="AK22" s="874">
        <v>0.8</v>
      </c>
      <c r="AL22" s="858"/>
      <c r="AM22" s="871"/>
      <c r="AN22" s="858">
        <v>0</v>
      </c>
      <c r="AO22" s="872">
        <v>0</v>
      </c>
      <c r="AP22" s="872">
        <v>0</v>
      </c>
      <c r="AQ22" s="874">
        <v>0.8</v>
      </c>
      <c r="AR22" s="872"/>
      <c r="AS22" s="872"/>
      <c r="AT22" s="858">
        <v>0</v>
      </c>
      <c r="AU22" s="872">
        <v>0</v>
      </c>
      <c r="AV22" s="872">
        <v>0</v>
      </c>
      <c r="AW22" s="874">
        <v>0.8</v>
      </c>
      <c r="AX22" s="872"/>
      <c r="AY22" s="872"/>
      <c r="AZ22" s="858">
        <v>0</v>
      </c>
      <c r="BA22" s="872">
        <v>0</v>
      </c>
      <c r="BB22" s="872">
        <v>0</v>
      </c>
      <c r="BC22" s="874">
        <v>0.8</v>
      </c>
      <c r="BD22" s="872"/>
      <c r="BE22" s="871"/>
      <c r="BF22" s="858">
        <v>0</v>
      </c>
      <c r="BG22" s="872">
        <v>0</v>
      </c>
      <c r="BH22" s="872">
        <v>0</v>
      </c>
      <c r="BI22" s="874">
        <v>0.8</v>
      </c>
      <c r="BJ22" s="858" t="s">
        <v>1442</v>
      </c>
      <c r="BK22" s="871">
        <v>0.2</v>
      </c>
      <c r="BL22" s="858">
        <v>217.107133542</v>
      </c>
      <c r="BM22" s="872">
        <v>195.5920122</v>
      </c>
      <c r="BN22" s="872">
        <v>21.515121342</v>
      </c>
      <c r="BO22" s="874">
        <v>1</v>
      </c>
      <c r="BP22" s="872"/>
      <c r="BQ22" s="871"/>
      <c r="BR22" s="858">
        <v>0</v>
      </c>
      <c r="BS22" s="872">
        <v>0</v>
      </c>
      <c r="BT22" s="872">
        <v>0</v>
      </c>
      <c r="BU22" s="874">
        <v>1</v>
      </c>
      <c r="BV22" s="872"/>
      <c r="BW22" s="871"/>
      <c r="BX22" s="858">
        <v>0</v>
      </c>
      <c r="BY22" s="872">
        <v>0</v>
      </c>
      <c r="BZ22" s="872">
        <v>0</v>
      </c>
      <c r="CA22" s="874">
        <v>1</v>
      </c>
      <c r="CB22" s="872"/>
      <c r="CC22" s="871"/>
      <c r="CD22" s="858">
        <v>0</v>
      </c>
      <c r="CE22" s="872">
        <v>0</v>
      </c>
      <c r="CF22" s="872">
        <v>0</v>
      </c>
      <c r="CG22" s="874">
        <v>1</v>
      </c>
      <c r="CH22" s="872"/>
      <c r="CI22" s="872"/>
      <c r="CJ22" s="858">
        <v>0</v>
      </c>
      <c r="CK22" s="872">
        <v>0</v>
      </c>
      <c r="CL22" s="872">
        <v>0</v>
      </c>
      <c r="CM22" s="874">
        <v>1</v>
      </c>
      <c r="CN22" s="872"/>
      <c r="CO22" s="872"/>
      <c r="CP22" s="858">
        <v>0</v>
      </c>
      <c r="CQ22" s="872">
        <v>0</v>
      </c>
      <c r="CR22" s="872">
        <v>0</v>
      </c>
      <c r="CS22" s="874">
        <v>1</v>
      </c>
      <c r="CT22" s="872"/>
      <c r="CU22" s="871"/>
      <c r="CV22" s="858">
        <v>0</v>
      </c>
      <c r="CW22" s="872">
        <v>0</v>
      </c>
      <c r="CX22" s="872">
        <v>0</v>
      </c>
      <c r="CY22" s="874">
        <v>1</v>
      </c>
      <c r="CZ22" s="872"/>
      <c r="DA22" s="871"/>
      <c r="DB22" s="858">
        <v>0</v>
      </c>
      <c r="DC22" s="872">
        <v>0</v>
      </c>
      <c r="DD22" s="872">
        <v>0</v>
      </c>
      <c r="DE22" s="874">
        <v>1</v>
      </c>
      <c r="DF22" s="872"/>
      <c r="DG22" s="871"/>
      <c r="DH22" s="858">
        <v>0</v>
      </c>
      <c r="DI22" s="872">
        <v>0</v>
      </c>
      <c r="DJ22" s="872">
        <v>0</v>
      </c>
      <c r="DK22" s="874">
        <v>1</v>
      </c>
      <c r="DL22" s="872"/>
      <c r="DM22" s="871"/>
      <c r="DN22" s="858">
        <v>0</v>
      </c>
      <c r="DO22" s="872">
        <v>0</v>
      </c>
      <c r="DP22" s="872">
        <v>0</v>
      </c>
      <c r="DQ22" s="872">
        <v>0</v>
      </c>
    </row>
    <row r="23" s="861" customFormat="1" ht="14.25" customHeight="1" spans="1:121">
      <c r="A23" s="852">
        <v>21</v>
      </c>
      <c r="B23" s="853" t="s">
        <v>1345</v>
      </c>
      <c r="C23" s="853" t="s">
        <v>1351</v>
      </c>
      <c r="D23" s="859" t="s">
        <v>840</v>
      </c>
      <c r="E23" s="869">
        <v>93.38</v>
      </c>
      <c r="F23" s="870">
        <v>0.11</v>
      </c>
      <c r="G23" s="871">
        <v>0</v>
      </c>
      <c r="H23" s="872"/>
      <c r="I23" s="871"/>
      <c r="J23" s="858">
        <v>0</v>
      </c>
      <c r="K23" s="872">
        <v>0</v>
      </c>
      <c r="L23" s="872">
        <v>0</v>
      </c>
      <c r="M23" s="874">
        <v>0</v>
      </c>
      <c r="N23" s="872"/>
      <c r="O23" s="871"/>
      <c r="P23" s="858">
        <v>0</v>
      </c>
      <c r="Q23" s="872">
        <v>0</v>
      </c>
      <c r="R23" s="872">
        <v>0</v>
      </c>
      <c r="S23" s="874">
        <v>0</v>
      </c>
      <c r="T23" s="872"/>
      <c r="U23" s="871"/>
      <c r="V23" s="858">
        <v>0</v>
      </c>
      <c r="W23" s="872">
        <v>0</v>
      </c>
      <c r="X23" s="872">
        <v>0</v>
      </c>
      <c r="Y23" s="874">
        <v>0</v>
      </c>
      <c r="Z23" s="858" t="s">
        <v>1441</v>
      </c>
      <c r="AA23" s="871">
        <v>0.8</v>
      </c>
      <c r="AB23" s="858">
        <v>74.704</v>
      </c>
      <c r="AC23" s="872">
        <v>67.3009009009009</v>
      </c>
      <c r="AD23" s="872">
        <v>7.40309909909911</v>
      </c>
      <c r="AE23" s="874">
        <v>0.8</v>
      </c>
      <c r="AF23" s="872"/>
      <c r="AG23" s="871"/>
      <c r="AH23" s="858">
        <v>0</v>
      </c>
      <c r="AI23" s="872">
        <v>0</v>
      </c>
      <c r="AJ23" s="872">
        <v>0</v>
      </c>
      <c r="AK23" s="874">
        <v>0.8</v>
      </c>
      <c r="AL23" s="872"/>
      <c r="AM23" s="871"/>
      <c r="AN23" s="858">
        <v>0</v>
      </c>
      <c r="AO23" s="872">
        <v>0</v>
      </c>
      <c r="AP23" s="872">
        <v>0</v>
      </c>
      <c r="AQ23" s="874">
        <v>0.8</v>
      </c>
      <c r="AR23" s="872"/>
      <c r="AS23" s="872"/>
      <c r="AT23" s="858">
        <v>0</v>
      </c>
      <c r="AU23" s="872">
        <v>0</v>
      </c>
      <c r="AV23" s="872">
        <v>0</v>
      </c>
      <c r="AW23" s="874">
        <v>0.8</v>
      </c>
      <c r="AX23" s="872"/>
      <c r="AY23" s="872"/>
      <c r="AZ23" s="858">
        <v>0</v>
      </c>
      <c r="BA23" s="872">
        <v>0</v>
      </c>
      <c r="BB23" s="872">
        <v>0</v>
      </c>
      <c r="BC23" s="874">
        <v>0.8</v>
      </c>
      <c r="BD23" s="872"/>
      <c r="BE23" s="871"/>
      <c r="BF23" s="858">
        <v>0</v>
      </c>
      <c r="BG23" s="872">
        <v>0</v>
      </c>
      <c r="BH23" s="872">
        <v>0</v>
      </c>
      <c r="BI23" s="874">
        <v>0.8</v>
      </c>
      <c r="BJ23" s="858" t="s">
        <v>1442</v>
      </c>
      <c r="BK23" s="871">
        <v>0.2</v>
      </c>
      <c r="BL23" s="858">
        <v>18.676</v>
      </c>
      <c r="BM23" s="872">
        <v>16.8252252252252</v>
      </c>
      <c r="BN23" s="872">
        <v>1.85077477477478</v>
      </c>
      <c r="BO23" s="874">
        <v>1</v>
      </c>
      <c r="BP23" s="872"/>
      <c r="BQ23" s="871"/>
      <c r="BR23" s="858">
        <v>0</v>
      </c>
      <c r="BS23" s="872">
        <v>0</v>
      </c>
      <c r="BT23" s="872">
        <v>0</v>
      </c>
      <c r="BU23" s="874">
        <v>1</v>
      </c>
      <c r="BV23" s="872"/>
      <c r="BW23" s="871"/>
      <c r="BX23" s="858">
        <v>0</v>
      </c>
      <c r="BY23" s="872">
        <v>0</v>
      </c>
      <c r="BZ23" s="872">
        <v>0</v>
      </c>
      <c r="CA23" s="874">
        <v>1</v>
      </c>
      <c r="CB23" s="872"/>
      <c r="CC23" s="871"/>
      <c r="CD23" s="858">
        <v>0</v>
      </c>
      <c r="CE23" s="872">
        <v>0</v>
      </c>
      <c r="CF23" s="872">
        <v>0</v>
      </c>
      <c r="CG23" s="874">
        <v>1</v>
      </c>
      <c r="CH23" s="872"/>
      <c r="CI23" s="872"/>
      <c r="CJ23" s="858">
        <v>0</v>
      </c>
      <c r="CK23" s="872">
        <v>0</v>
      </c>
      <c r="CL23" s="872">
        <v>0</v>
      </c>
      <c r="CM23" s="874">
        <v>1</v>
      </c>
      <c r="CN23" s="872"/>
      <c r="CO23" s="872"/>
      <c r="CP23" s="858">
        <v>0</v>
      </c>
      <c r="CQ23" s="872">
        <v>0</v>
      </c>
      <c r="CR23" s="872">
        <v>0</v>
      </c>
      <c r="CS23" s="874">
        <v>1</v>
      </c>
      <c r="CT23" s="872"/>
      <c r="CU23" s="871"/>
      <c r="CV23" s="858">
        <v>0</v>
      </c>
      <c r="CW23" s="872">
        <v>0</v>
      </c>
      <c r="CX23" s="872">
        <v>0</v>
      </c>
      <c r="CY23" s="874">
        <v>1</v>
      </c>
      <c r="CZ23" s="872"/>
      <c r="DA23" s="871"/>
      <c r="DB23" s="858">
        <v>0</v>
      </c>
      <c r="DC23" s="872">
        <v>0</v>
      </c>
      <c r="DD23" s="872">
        <v>0</v>
      </c>
      <c r="DE23" s="874">
        <v>1</v>
      </c>
      <c r="DF23" s="872"/>
      <c r="DG23" s="871"/>
      <c r="DH23" s="858">
        <v>0</v>
      </c>
      <c r="DI23" s="872">
        <v>0</v>
      </c>
      <c r="DJ23" s="872">
        <v>0</v>
      </c>
      <c r="DK23" s="874">
        <v>1</v>
      </c>
      <c r="DL23" s="872"/>
      <c r="DM23" s="871"/>
      <c r="DN23" s="858">
        <v>0</v>
      </c>
      <c r="DO23" s="872">
        <v>0</v>
      </c>
      <c r="DP23" s="872">
        <v>0</v>
      </c>
      <c r="DQ23" s="872">
        <v>0</v>
      </c>
    </row>
    <row r="24" s="861" customFormat="1" ht="14.25" customHeight="1" spans="1:121">
      <c r="A24" s="852">
        <v>22</v>
      </c>
      <c r="B24" s="853" t="s">
        <v>1345</v>
      </c>
      <c r="C24" s="853" t="s">
        <v>1351</v>
      </c>
      <c r="D24" s="859" t="s">
        <v>843</v>
      </c>
      <c r="E24" s="869">
        <v>0</v>
      </c>
      <c r="F24" s="870">
        <v>0.11</v>
      </c>
      <c r="G24" s="871">
        <v>0</v>
      </c>
      <c r="H24" s="872"/>
      <c r="I24" s="871"/>
      <c r="J24" s="858">
        <v>0</v>
      </c>
      <c r="K24" s="872">
        <v>0</v>
      </c>
      <c r="L24" s="872">
        <v>0</v>
      </c>
      <c r="M24" s="874">
        <v>0</v>
      </c>
      <c r="N24" s="872"/>
      <c r="O24" s="871"/>
      <c r="P24" s="858">
        <v>0</v>
      </c>
      <c r="Q24" s="872">
        <v>0</v>
      </c>
      <c r="R24" s="872">
        <v>0</v>
      </c>
      <c r="S24" s="874">
        <v>0</v>
      </c>
      <c r="T24" s="872"/>
      <c r="U24" s="871"/>
      <c r="V24" s="858">
        <v>0</v>
      </c>
      <c r="W24" s="872">
        <v>0</v>
      </c>
      <c r="X24" s="872">
        <v>0</v>
      </c>
      <c r="Y24" s="874">
        <v>0</v>
      </c>
      <c r="Z24" s="858" t="s">
        <v>1441</v>
      </c>
      <c r="AA24" s="871">
        <v>0.8</v>
      </c>
      <c r="AB24" s="858">
        <v>0</v>
      </c>
      <c r="AC24" s="872">
        <v>0</v>
      </c>
      <c r="AD24" s="872">
        <v>0</v>
      </c>
      <c r="AE24" s="874">
        <v>0.8</v>
      </c>
      <c r="AF24" s="872"/>
      <c r="AG24" s="871"/>
      <c r="AH24" s="858">
        <v>0</v>
      </c>
      <c r="AI24" s="872">
        <v>0</v>
      </c>
      <c r="AJ24" s="872">
        <v>0</v>
      </c>
      <c r="AK24" s="874">
        <v>0.8</v>
      </c>
      <c r="AL24" s="872"/>
      <c r="AM24" s="871"/>
      <c r="AN24" s="858">
        <v>0</v>
      </c>
      <c r="AO24" s="872">
        <v>0</v>
      </c>
      <c r="AP24" s="872">
        <v>0</v>
      </c>
      <c r="AQ24" s="874">
        <v>0.8</v>
      </c>
      <c r="AR24" s="872"/>
      <c r="AS24" s="872"/>
      <c r="AT24" s="858">
        <v>0</v>
      </c>
      <c r="AU24" s="872">
        <v>0</v>
      </c>
      <c r="AV24" s="872">
        <v>0</v>
      </c>
      <c r="AW24" s="874">
        <v>0.8</v>
      </c>
      <c r="AX24" s="872"/>
      <c r="AY24" s="872"/>
      <c r="AZ24" s="858">
        <v>0</v>
      </c>
      <c r="BA24" s="872">
        <v>0</v>
      </c>
      <c r="BB24" s="872">
        <v>0</v>
      </c>
      <c r="BC24" s="874">
        <v>0.8</v>
      </c>
      <c r="BD24" s="872"/>
      <c r="BE24" s="871"/>
      <c r="BF24" s="858">
        <v>0</v>
      </c>
      <c r="BG24" s="872">
        <v>0</v>
      </c>
      <c r="BH24" s="872">
        <v>0</v>
      </c>
      <c r="BI24" s="874">
        <v>0.8</v>
      </c>
      <c r="BJ24" s="858" t="s">
        <v>1442</v>
      </c>
      <c r="BK24" s="871">
        <v>0.2</v>
      </c>
      <c r="BL24" s="858">
        <v>0</v>
      </c>
      <c r="BM24" s="872">
        <v>0</v>
      </c>
      <c r="BN24" s="872">
        <v>0</v>
      </c>
      <c r="BO24" s="874">
        <v>1</v>
      </c>
      <c r="BP24" s="872"/>
      <c r="BQ24" s="871"/>
      <c r="BR24" s="858">
        <v>0</v>
      </c>
      <c r="BS24" s="872">
        <v>0</v>
      </c>
      <c r="BT24" s="872">
        <v>0</v>
      </c>
      <c r="BU24" s="874">
        <v>1</v>
      </c>
      <c r="BV24" s="872"/>
      <c r="BW24" s="871"/>
      <c r="BX24" s="858">
        <v>0</v>
      </c>
      <c r="BY24" s="872">
        <v>0</v>
      </c>
      <c r="BZ24" s="872">
        <v>0</v>
      </c>
      <c r="CA24" s="874">
        <v>1</v>
      </c>
      <c r="CB24" s="872"/>
      <c r="CC24" s="871"/>
      <c r="CD24" s="858">
        <v>0</v>
      </c>
      <c r="CE24" s="872">
        <v>0</v>
      </c>
      <c r="CF24" s="872">
        <v>0</v>
      </c>
      <c r="CG24" s="874">
        <v>1</v>
      </c>
      <c r="CH24" s="872"/>
      <c r="CI24" s="872"/>
      <c r="CJ24" s="858">
        <v>0</v>
      </c>
      <c r="CK24" s="872">
        <v>0</v>
      </c>
      <c r="CL24" s="872">
        <v>0</v>
      </c>
      <c r="CM24" s="874">
        <v>1</v>
      </c>
      <c r="CN24" s="872"/>
      <c r="CO24" s="872"/>
      <c r="CP24" s="858">
        <v>0</v>
      </c>
      <c r="CQ24" s="872">
        <v>0</v>
      </c>
      <c r="CR24" s="872">
        <v>0</v>
      </c>
      <c r="CS24" s="874">
        <v>1</v>
      </c>
      <c r="CT24" s="872"/>
      <c r="CU24" s="871"/>
      <c r="CV24" s="858">
        <v>0</v>
      </c>
      <c r="CW24" s="872">
        <v>0</v>
      </c>
      <c r="CX24" s="872">
        <v>0</v>
      </c>
      <c r="CY24" s="874">
        <v>1</v>
      </c>
      <c r="CZ24" s="872"/>
      <c r="DA24" s="871"/>
      <c r="DB24" s="858">
        <v>0</v>
      </c>
      <c r="DC24" s="872">
        <v>0</v>
      </c>
      <c r="DD24" s="872">
        <v>0</v>
      </c>
      <c r="DE24" s="874">
        <v>1</v>
      </c>
      <c r="DF24" s="872"/>
      <c r="DG24" s="871"/>
      <c r="DH24" s="858">
        <v>0</v>
      </c>
      <c r="DI24" s="872">
        <v>0</v>
      </c>
      <c r="DJ24" s="872">
        <v>0</v>
      </c>
      <c r="DK24" s="874">
        <v>1</v>
      </c>
      <c r="DL24" s="872"/>
      <c r="DM24" s="871"/>
      <c r="DN24" s="858">
        <v>0</v>
      </c>
      <c r="DO24" s="872">
        <v>0</v>
      </c>
      <c r="DP24" s="872">
        <v>0</v>
      </c>
      <c r="DQ24" s="872">
        <v>0</v>
      </c>
    </row>
    <row r="25" s="861" customFormat="1" ht="14.25" customHeight="1" spans="1:121">
      <c r="A25" s="852">
        <v>23</v>
      </c>
      <c r="B25" s="853" t="s">
        <v>1345</v>
      </c>
      <c r="C25" s="853" t="s">
        <v>1351</v>
      </c>
      <c r="D25" s="859" t="s">
        <v>850</v>
      </c>
      <c r="E25" s="869">
        <v>2587.32688066189</v>
      </c>
      <c r="F25" s="870">
        <v>0.11</v>
      </c>
      <c r="G25" s="871">
        <v>0</v>
      </c>
      <c r="H25" s="872"/>
      <c r="I25" s="871"/>
      <c r="J25" s="858">
        <v>0</v>
      </c>
      <c r="K25" s="872">
        <v>0</v>
      </c>
      <c r="L25" s="872">
        <v>0</v>
      </c>
      <c r="M25" s="874">
        <v>0</v>
      </c>
      <c r="N25" s="872"/>
      <c r="O25" s="871"/>
      <c r="P25" s="858">
        <v>0</v>
      </c>
      <c r="Q25" s="872">
        <v>0</v>
      </c>
      <c r="R25" s="872">
        <v>0</v>
      </c>
      <c r="S25" s="874">
        <v>0</v>
      </c>
      <c r="T25" s="872"/>
      <c r="U25" s="871"/>
      <c r="V25" s="858">
        <v>0</v>
      </c>
      <c r="W25" s="872">
        <v>0</v>
      </c>
      <c r="X25" s="872">
        <v>0</v>
      </c>
      <c r="Y25" s="874">
        <v>0</v>
      </c>
      <c r="Z25" s="872"/>
      <c r="AA25" s="871"/>
      <c r="AB25" s="858">
        <v>0</v>
      </c>
      <c r="AC25" s="872">
        <v>0</v>
      </c>
      <c r="AD25" s="872">
        <v>0</v>
      </c>
      <c r="AE25" s="874">
        <v>0</v>
      </c>
      <c r="AF25" s="872"/>
      <c r="AG25" s="871"/>
      <c r="AH25" s="858">
        <v>0</v>
      </c>
      <c r="AI25" s="872">
        <v>0</v>
      </c>
      <c r="AJ25" s="872">
        <v>0</v>
      </c>
      <c r="AK25" s="874">
        <v>0</v>
      </c>
      <c r="AL25" s="858" t="s">
        <v>1441</v>
      </c>
      <c r="AM25" s="871">
        <v>0.8</v>
      </c>
      <c r="AN25" s="858">
        <v>2069.86150452951</v>
      </c>
      <c r="AO25" s="872">
        <v>1864.74009417073</v>
      </c>
      <c r="AP25" s="872">
        <v>205.121410358781</v>
      </c>
      <c r="AQ25" s="874">
        <v>0.8</v>
      </c>
      <c r="AR25" s="872"/>
      <c r="AS25" s="872"/>
      <c r="AT25" s="858">
        <v>0</v>
      </c>
      <c r="AU25" s="872">
        <v>0</v>
      </c>
      <c r="AV25" s="872">
        <v>0</v>
      </c>
      <c r="AW25" s="874">
        <v>0.8</v>
      </c>
      <c r="AX25" s="872"/>
      <c r="AY25" s="872"/>
      <c r="AZ25" s="858">
        <v>0</v>
      </c>
      <c r="BA25" s="872">
        <v>0</v>
      </c>
      <c r="BB25" s="872">
        <v>0</v>
      </c>
      <c r="BC25" s="874">
        <v>0.8</v>
      </c>
      <c r="BD25" s="872"/>
      <c r="BE25" s="871"/>
      <c r="BF25" s="858">
        <v>0</v>
      </c>
      <c r="BG25" s="872">
        <v>0</v>
      </c>
      <c r="BH25" s="872">
        <v>0</v>
      </c>
      <c r="BI25" s="874">
        <v>0.8</v>
      </c>
      <c r="BJ25" s="858" t="s">
        <v>1442</v>
      </c>
      <c r="BK25" s="871">
        <v>0.2</v>
      </c>
      <c r="BL25" s="858">
        <v>517.465376132378</v>
      </c>
      <c r="BM25" s="872">
        <v>466.185023542683</v>
      </c>
      <c r="BN25" s="872">
        <v>51.2803525896952</v>
      </c>
      <c r="BO25" s="874">
        <v>1</v>
      </c>
      <c r="BP25" s="872"/>
      <c r="BQ25" s="871"/>
      <c r="BR25" s="858">
        <v>0</v>
      </c>
      <c r="BS25" s="872">
        <v>0</v>
      </c>
      <c r="BT25" s="872">
        <v>0</v>
      </c>
      <c r="BU25" s="874">
        <v>1</v>
      </c>
      <c r="BV25" s="872"/>
      <c r="BW25" s="871"/>
      <c r="BX25" s="858">
        <v>0</v>
      </c>
      <c r="BY25" s="872">
        <v>0</v>
      </c>
      <c r="BZ25" s="872">
        <v>0</v>
      </c>
      <c r="CA25" s="874">
        <v>1</v>
      </c>
      <c r="CB25" s="872"/>
      <c r="CC25" s="871"/>
      <c r="CD25" s="858">
        <v>0</v>
      </c>
      <c r="CE25" s="872">
        <v>0</v>
      </c>
      <c r="CF25" s="872">
        <v>0</v>
      </c>
      <c r="CG25" s="874">
        <v>1</v>
      </c>
      <c r="CH25" s="872"/>
      <c r="CI25" s="872"/>
      <c r="CJ25" s="858">
        <v>0</v>
      </c>
      <c r="CK25" s="872">
        <v>0</v>
      </c>
      <c r="CL25" s="872">
        <v>0</v>
      </c>
      <c r="CM25" s="874">
        <v>1</v>
      </c>
      <c r="CN25" s="872"/>
      <c r="CO25" s="872"/>
      <c r="CP25" s="858">
        <v>0</v>
      </c>
      <c r="CQ25" s="872">
        <v>0</v>
      </c>
      <c r="CR25" s="872">
        <v>0</v>
      </c>
      <c r="CS25" s="874">
        <v>1</v>
      </c>
      <c r="CT25" s="872"/>
      <c r="CU25" s="871"/>
      <c r="CV25" s="858">
        <v>0</v>
      </c>
      <c r="CW25" s="872">
        <v>0</v>
      </c>
      <c r="CX25" s="872">
        <v>0</v>
      </c>
      <c r="CY25" s="874">
        <v>1</v>
      </c>
      <c r="CZ25" s="872"/>
      <c r="DA25" s="871"/>
      <c r="DB25" s="858">
        <v>0</v>
      </c>
      <c r="DC25" s="872">
        <v>0</v>
      </c>
      <c r="DD25" s="872">
        <v>0</v>
      </c>
      <c r="DE25" s="874">
        <v>1</v>
      </c>
      <c r="DF25" s="872"/>
      <c r="DG25" s="871"/>
      <c r="DH25" s="858">
        <v>0</v>
      </c>
      <c r="DI25" s="872">
        <v>0</v>
      </c>
      <c r="DJ25" s="872">
        <v>0</v>
      </c>
      <c r="DK25" s="874">
        <v>1</v>
      </c>
      <c r="DL25" s="872"/>
      <c r="DM25" s="871"/>
      <c r="DN25" s="858">
        <v>0</v>
      </c>
      <c r="DO25" s="872">
        <v>0</v>
      </c>
      <c r="DP25" s="872">
        <v>0</v>
      </c>
      <c r="DQ25" s="872">
        <v>0</v>
      </c>
    </row>
    <row r="26" s="861" customFormat="1" ht="14.25" customHeight="1" spans="1:121">
      <c r="A26" s="852">
        <v>24</v>
      </c>
      <c r="B26" s="853" t="s">
        <v>1345</v>
      </c>
      <c r="C26" s="853" t="s">
        <v>1351</v>
      </c>
      <c r="D26" s="860" t="s">
        <v>1352</v>
      </c>
      <c r="E26" s="869">
        <v>0</v>
      </c>
      <c r="F26" s="870">
        <v>0.11</v>
      </c>
      <c r="G26" s="871">
        <v>0</v>
      </c>
      <c r="H26" s="872"/>
      <c r="I26" s="871"/>
      <c r="J26" s="858">
        <v>0</v>
      </c>
      <c r="K26" s="872">
        <v>0</v>
      </c>
      <c r="L26" s="872">
        <v>0</v>
      </c>
      <c r="M26" s="874">
        <v>0</v>
      </c>
      <c r="N26" s="872"/>
      <c r="O26" s="871"/>
      <c r="P26" s="858">
        <v>0</v>
      </c>
      <c r="Q26" s="872">
        <v>0</v>
      </c>
      <c r="R26" s="872">
        <v>0</v>
      </c>
      <c r="S26" s="874">
        <v>0</v>
      </c>
      <c r="T26" s="872"/>
      <c r="U26" s="871"/>
      <c r="V26" s="858">
        <v>0</v>
      </c>
      <c r="W26" s="872">
        <v>0</v>
      </c>
      <c r="X26" s="872">
        <v>0</v>
      </c>
      <c r="Y26" s="874">
        <v>0</v>
      </c>
      <c r="Z26" s="872"/>
      <c r="AA26" s="871"/>
      <c r="AB26" s="858">
        <v>0</v>
      </c>
      <c r="AC26" s="872">
        <v>0</v>
      </c>
      <c r="AD26" s="872">
        <v>0</v>
      </c>
      <c r="AE26" s="874">
        <v>0</v>
      </c>
      <c r="AF26" s="872"/>
      <c r="AG26" s="871"/>
      <c r="AH26" s="858">
        <v>0</v>
      </c>
      <c r="AI26" s="872">
        <v>0</v>
      </c>
      <c r="AJ26" s="872">
        <v>0</v>
      </c>
      <c r="AK26" s="874">
        <v>0</v>
      </c>
      <c r="AL26" s="858" t="s">
        <v>1441</v>
      </c>
      <c r="AM26" s="871">
        <v>0.8</v>
      </c>
      <c r="AN26" s="858">
        <v>0</v>
      </c>
      <c r="AO26" s="872">
        <v>0</v>
      </c>
      <c r="AP26" s="872">
        <v>0</v>
      </c>
      <c r="AQ26" s="874">
        <v>0.8</v>
      </c>
      <c r="AR26" s="872"/>
      <c r="AS26" s="872"/>
      <c r="AT26" s="858">
        <v>0</v>
      </c>
      <c r="AU26" s="872">
        <v>0</v>
      </c>
      <c r="AV26" s="872">
        <v>0</v>
      </c>
      <c r="AW26" s="874">
        <v>0.8</v>
      </c>
      <c r="AX26" s="872"/>
      <c r="AY26" s="872"/>
      <c r="AZ26" s="858">
        <v>0</v>
      </c>
      <c r="BA26" s="872">
        <v>0</v>
      </c>
      <c r="BB26" s="872">
        <v>0</v>
      </c>
      <c r="BC26" s="874">
        <v>0.8</v>
      </c>
      <c r="BD26" s="872"/>
      <c r="BE26" s="871"/>
      <c r="BF26" s="858">
        <v>0</v>
      </c>
      <c r="BG26" s="872">
        <v>0</v>
      </c>
      <c r="BH26" s="872">
        <v>0</v>
      </c>
      <c r="BI26" s="874">
        <v>0.8</v>
      </c>
      <c r="BJ26" s="858" t="s">
        <v>1442</v>
      </c>
      <c r="BK26" s="871">
        <v>0.2</v>
      </c>
      <c r="BL26" s="858">
        <v>0</v>
      </c>
      <c r="BM26" s="872">
        <v>0</v>
      </c>
      <c r="BN26" s="872">
        <v>0</v>
      </c>
      <c r="BO26" s="874">
        <v>1</v>
      </c>
      <c r="BP26" s="872"/>
      <c r="BQ26" s="871"/>
      <c r="BR26" s="858">
        <v>0</v>
      </c>
      <c r="BS26" s="872">
        <v>0</v>
      </c>
      <c r="BT26" s="872">
        <v>0</v>
      </c>
      <c r="BU26" s="874">
        <v>1</v>
      </c>
      <c r="BV26" s="872"/>
      <c r="BW26" s="871"/>
      <c r="BX26" s="858">
        <v>0</v>
      </c>
      <c r="BY26" s="872">
        <v>0</v>
      </c>
      <c r="BZ26" s="872">
        <v>0</v>
      </c>
      <c r="CA26" s="874">
        <v>1</v>
      </c>
      <c r="CB26" s="872"/>
      <c r="CC26" s="871"/>
      <c r="CD26" s="858">
        <v>0</v>
      </c>
      <c r="CE26" s="872">
        <v>0</v>
      </c>
      <c r="CF26" s="872">
        <v>0</v>
      </c>
      <c r="CG26" s="874">
        <v>1</v>
      </c>
      <c r="CH26" s="872"/>
      <c r="CI26" s="872"/>
      <c r="CJ26" s="858">
        <v>0</v>
      </c>
      <c r="CK26" s="872">
        <v>0</v>
      </c>
      <c r="CL26" s="872">
        <v>0</v>
      </c>
      <c r="CM26" s="874">
        <v>1</v>
      </c>
      <c r="CN26" s="872"/>
      <c r="CO26" s="872"/>
      <c r="CP26" s="858">
        <v>0</v>
      </c>
      <c r="CQ26" s="872">
        <v>0</v>
      </c>
      <c r="CR26" s="872">
        <v>0</v>
      </c>
      <c r="CS26" s="874">
        <v>1</v>
      </c>
      <c r="CT26" s="872"/>
      <c r="CU26" s="871"/>
      <c r="CV26" s="858">
        <v>0</v>
      </c>
      <c r="CW26" s="872">
        <v>0</v>
      </c>
      <c r="CX26" s="872">
        <v>0</v>
      </c>
      <c r="CY26" s="874">
        <v>1</v>
      </c>
      <c r="CZ26" s="872"/>
      <c r="DA26" s="871"/>
      <c r="DB26" s="858">
        <v>0</v>
      </c>
      <c r="DC26" s="872">
        <v>0</v>
      </c>
      <c r="DD26" s="872">
        <v>0</v>
      </c>
      <c r="DE26" s="874">
        <v>1</v>
      </c>
      <c r="DF26" s="872"/>
      <c r="DG26" s="871"/>
      <c r="DH26" s="858">
        <v>0</v>
      </c>
      <c r="DI26" s="872">
        <v>0</v>
      </c>
      <c r="DJ26" s="872">
        <v>0</v>
      </c>
      <c r="DK26" s="874">
        <v>1</v>
      </c>
      <c r="DL26" s="872"/>
      <c r="DM26" s="871"/>
      <c r="DN26" s="858">
        <v>0</v>
      </c>
      <c r="DO26" s="872">
        <v>0</v>
      </c>
      <c r="DP26" s="872">
        <v>0</v>
      </c>
      <c r="DQ26" s="872">
        <v>0</v>
      </c>
    </row>
    <row r="27" s="861" customFormat="1" ht="14.25" customHeight="1" spans="1:121">
      <c r="A27" s="852">
        <v>25</v>
      </c>
      <c r="B27" s="853" t="s">
        <v>1345</v>
      </c>
      <c r="C27" s="853" t="s">
        <v>1351</v>
      </c>
      <c r="D27" s="873" t="s">
        <v>869</v>
      </c>
      <c r="E27" s="869">
        <v>151.818113501388</v>
      </c>
      <c r="F27" s="870">
        <v>0.11</v>
      </c>
      <c r="G27" s="871">
        <v>0</v>
      </c>
      <c r="H27" s="872"/>
      <c r="I27" s="871"/>
      <c r="J27" s="858">
        <v>0</v>
      </c>
      <c r="K27" s="872">
        <v>0</v>
      </c>
      <c r="L27" s="872">
        <v>0</v>
      </c>
      <c r="M27" s="874">
        <v>0</v>
      </c>
      <c r="N27" s="872"/>
      <c r="O27" s="871"/>
      <c r="P27" s="858">
        <v>0</v>
      </c>
      <c r="Q27" s="872">
        <v>0</v>
      </c>
      <c r="R27" s="872">
        <v>0</v>
      </c>
      <c r="S27" s="874">
        <v>0</v>
      </c>
      <c r="T27" s="872"/>
      <c r="U27" s="871"/>
      <c r="V27" s="858">
        <v>0</v>
      </c>
      <c r="W27" s="872">
        <v>0</v>
      </c>
      <c r="X27" s="872">
        <v>0</v>
      </c>
      <c r="Y27" s="874">
        <v>0</v>
      </c>
      <c r="Z27" s="872"/>
      <c r="AA27" s="871"/>
      <c r="AB27" s="858">
        <v>0</v>
      </c>
      <c r="AC27" s="872">
        <v>0</v>
      </c>
      <c r="AD27" s="872">
        <v>0</v>
      </c>
      <c r="AE27" s="874">
        <v>0</v>
      </c>
      <c r="AF27" s="872"/>
      <c r="AG27" s="871"/>
      <c r="AH27" s="858">
        <v>0</v>
      </c>
      <c r="AI27" s="872">
        <v>0</v>
      </c>
      <c r="AJ27" s="872">
        <v>0</v>
      </c>
      <c r="AK27" s="874">
        <v>0</v>
      </c>
      <c r="AL27" s="858" t="s">
        <v>1441</v>
      </c>
      <c r="AM27" s="871">
        <v>1</v>
      </c>
      <c r="AN27" s="858">
        <v>151.818113501388</v>
      </c>
      <c r="AO27" s="872">
        <v>136.773075226476</v>
      </c>
      <c r="AP27" s="872">
        <v>15.0450382749123</v>
      </c>
      <c r="AQ27" s="874">
        <v>1</v>
      </c>
      <c r="AR27" s="872"/>
      <c r="AS27" s="872"/>
      <c r="AT27" s="858">
        <v>0</v>
      </c>
      <c r="AU27" s="872">
        <v>0</v>
      </c>
      <c r="AV27" s="872">
        <v>0</v>
      </c>
      <c r="AW27" s="874">
        <v>1</v>
      </c>
      <c r="AX27" s="872"/>
      <c r="AY27" s="872"/>
      <c r="AZ27" s="858">
        <v>0</v>
      </c>
      <c r="BA27" s="872">
        <v>0</v>
      </c>
      <c r="BB27" s="872">
        <v>0</v>
      </c>
      <c r="BC27" s="874">
        <v>1</v>
      </c>
      <c r="BD27" s="872"/>
      <c r="BE27" s="871"/>
      <c r="BF27" s="858">
        <v>0</v>
      </c>
      <c r="BG27" s="872">
        <v>0</v>
      </c>
      <c r="BH27" s="872">
        <v>0</v>
      </c>
      <c r="BI27" s="874">
        <v>1</v>
      </c>
      <c r="BJ27" s="858"/>
      <c r="BK27" s="871"/>
      <c r="BL27" s="858">
        <v>0</v>
      </c>
      <c r="BM27" s="872">
        <v>0</v>
      </c>
      <c r="BN27" s="872">
        <v>0</v>
      </c>
      <c r="BO27" s="874">
        <v>1</v>
      </c>
      <c r="BP27" s="872"/>
      <c r="BQ27" s="871"/>
      <c r="BR27" s="858">
        <v>0</v>
      </c>
      <c r="BS27" s="872">
        <v>0</v>
      </c>
      <c r="BT27" s="872">
        <v>0</v>
      </c>
      <c r="BU27" s="874">
        <v>1</v>
      </c>
      <c r="BV27" s="872"/>
      <c r="BW27" s="871"/>
      <c r="BX27" s="858">
        <v>0</v>
      </c>
      <c r="BY27" s="872">
        <v>0</v>
      </c>
      <c r="BZ27" s="872">
        <v>0</v>
      </c>
      <c r="CA27" s="874">
        <v>1</v>
      </c>
      <c r="CB27" s="872"/>
      <c r="CC27" s="871"/>
      <c r="CD27" s="858">
        <v>0</v>
      </c>
      <c r="CE27" s="872">
        <v>0</v>
      </c>
      <c r="CF27" s="872">
        <v>0</v>
      </c>
      <c r="CG27" s="874">
        <v>1</v>
      </c>
      <c r="CH27" s="872"/>
      <c r="CI27" s="872"/>
      <c r="CJ27" s="858">
        <v>0</v>
      </c>
      <c r="CK27" s="872">
        <v>0</v>
      </c>
      <c r="CL27" s="872">
        <v>0</v>
      </c>
      <c r="CM27" s="874">
        <v>1</v>
      </c>
      <c r="CN27" s="872"/>
      <c r="CO27" s="872"/>
      <c r="CP27" s="858">
        <v>0</v>
      </c>
      <c r="CQ27" s="872">
        <v>0</v>
      </c>
      <c r="CR27" s="872">
        <v>0</v>
      </c>
      <c r="CS27" s="874">
        <v>1</v>
      </c>
      <c r="CT27" s="872"/>
      <c r="CU27" s="871"/>
      <c r="CV27" s="858">
        <v>0</v>
      </c>
      <c r="CW27" s="872">
        <v>0</v>
      </c>
      <c r="CX27" s="872">
        <v>0</v>
      </c>
      <c r="CY27" s="874">
        <v>1</v>
      </c>
      <c r="CZ27" s="872"/>
      <c r="DA27" s="871"/>
      <c r="DB27" s="858">
        <v>0</v>
      </c>
      <c r="DC27" s="872">
        <v>0</v>
      </c>
      <c r="DD27" s="872">
        <v>0</v>
      </c>
      <c r="DE27" s="874">
        <v>1</v>
      </c>
      <c r="DF27" s="872"/>
      <c r="DG27" s="871"/>
      <c r="DH27" s="858">
        <v>0</v>
      </c>
      <c r="DI27" s="872">
        <v>0</v>
      </c>
      <c r="DJ27" s="872">
        <v>0</v>
      </c>
      <c r="DK27" s="874">
        <v>1</v>
      </c>
      <c r="DL27" s="872"/>
      <c r="DM27" s="871"/>
      <c r="DN27" s="858">
        <v>0</v>
      </c>
      <c r="DO27" s="872">
        <v>0</v>
      </c>
      <c r="DP27" s="872">
        <v>0</v>
      </c>
      <c r="DQ27" s="872">
        <v>0</v>
      </c>
    </row>
    <row r="28" s="861" customFormat="1" ht="14.25" customHeight="1" spans="1:121">
      <c r="A28" s="852">
        <v>26</v>
      </c>
      <c r="B28" s="853" t="s">
        <v>1345</v>
      </c>
      <c r="C28" s="853" t="s">
        <v>1351</v>
      </c>
      <c r="D28" s="873" t="s">
        <v>874</v>
      </c>
      <c r="E28" s="869">
        <v>0</v>
      </c>
      <c r="F28" s="870">
        <v>0.11</v>
      </c>
      <c r="G28" s="871">
        <v>0</v>
      </c>
      <c r="H28" s="872"/>
      <c r="I28" s="871"/>
      <c r="J28" s="858">
        <v>0</v>
      </c>
      <c r="K28" s="872">
        <v>0</v>
      </c>
      <c r="L28" s="872">
        <v>0</v>
      </c>
      <c r="M28" s="874">
        <v>0</v>
      </c>
      <c r="N28" s="872"/>
      <c r="O28" s="871"/>
      <c r="P28" s="858">
        <v>0</v>
      </c>
      <c r="Q28" s="872">
        <v>0</v>
      </c>
      <c r="R28" s="872">
        <v>0</v>
      </c>
      <c r="S28" s="874">
        <v>0</v>
      </c>
      <c r="T28" s="872"/>
      <c r="U28" s="871"/>
      <c r="V28" s="858">
        <v>0</v>
      </c>
      <c r="W28" s="872">
        <v>0</v>
      </c>
      <c r="X28" s="872">
        <v>0</v>
      </c>
      <c r="Y28" s="874">
        <v>0</v>
      </c>
      <c r="Z28" s="858" t="s">
        <v>1441</v>
      </c>
      <c r="AA28" s="871">
        <v>0.8</v>
      </c>
      <c r="AB28" s="858">
        <v>0</v>
      </c>
      <c r="AC28" s="872">
        <v>0</v>
      </c>
      <c r="AD28" s="872">
        <v>0</v>
      </c>
      <c r="AE28" s="874">
        <v>0.8</v>
      </c>
      <c r="AF28" s="872"/>
      <c r="AG28" s="871"/>
      <c r="AH28" s="858">
        <v>0</v>
      </c>
      <c r="AI28" s="872">
        <v>0</v>
      </c>
      <c r="AJ28" s="872">
        <v>0</v>
      </c>
      <c r="AK28" s="874">
        <v>0.8</v>
      </c>
      <c r="AL28" s="872"/>
      <c r="AM28" s="871"/>
      <c r="AN28" s="858">
        <v>0</v>
      </c>
      <c r="AO28" s="872">
        <v>0</v>
      </c>
      <c r="AP28" s="872">
        <v>0</v>
      </c>
      <c r="AQ28" s="874">
        <v>0.8</v>
      </c>
      <c r="AR28" s="872"/>
      <c r="AS28" s="872"/>
      <c r="AT28" s="858">
        <v>0</v>
      </c>
      <c r="AU28" s="872">
        <v>0</v>
      </c>
      <c r="AV28" s="872">
        <v>0</v>
      </c>
      <c r="AW28" s="874">
        <v>0.8</v>
      </c>
      <c r="AX28" s="872"/>
      <c r="AY28" s="872"/>
      <c r="AZ28" s="858">
        <v>0</v>
      </c>
      <c r="BA28" s="872">
        <v>0</v>
      </c>
      <c r="BB28" s="872">
        <v>0</v>
      </c>
      <c r="BC28" s="874">
        <v>0.8</v>
      </c>
      <c r="BD28" s="872"/>
      <c r="BE28" s="871"/>
      <c r="BF28" s="858">
        <v>0</v>
      </c>
      <c r="BG28" s="872">
        <v>0</v>
      </c>
      <c r="BH28" s="872">
        <v>0</v>
      </c>
      <c r="BI28" s="874">
        <v>0.8</v>
      </c>
      <c r="BJ28" s="858" t="s">
        <v>1442</v>
      </c>
      <c r="BK28" s="871">
        <v>0.2</v>
      </c>
      <c r="BL28" s="858">
        <v>0</v>
      </c>
      <c r="BM28" s="872">
        <v>0</v>
      </c>
      <c r="BN28" s="872">
        <v>0</v>
      </c>
      <c r="BO28" s="874">
        <v>1</v>
      </c>
      <c r="BP28" s="872"/>
      <c r="BQ28" s="871"/>
      <c r="BR28" s="858">
        <v>0</v>
      </c>
      <c r="BS28" s="872">
        <v>0</v>
      </c>
      <c r="BT28" s="872">
        <v>0</v>
      </c>
      <c r="BU28" s="874">
        <v>1</v>
      </c>
      <c r="BV28" s="872"/>
      <c r="BW28" s="871"/>
      <c r="BX28" s="858">
        <v>0</v>
      </c>
      <c r="BY28" s="872">
        <v>0</v>
      </c>
      <c r="BZ28" s="872">
        <v>0</v>
      </c>
      <c r="CA28" s="874">
        <v>1</v>
      </c>
      <c r="CB28" s="872"/>
      <c r="CC28" s="871"/>
      <c r="CD28" s="858">
        <v>0</v>
      </c>
      <c r="CE28" s="872">
        <v>0</v>
      </c>
      <c r="CF28" s="872">
        <v>0</v>
      </c>
      <c r="CG28" s="874">
        <v>1</v>
      </c>
      <c r="CH28" s="872"/>
      <c r="CI28" s="872"/>
      <c r="CJ28" s="858">
        <v>0</v>
      </c>
      <c r="CK28" s="872">
        <v>0</v>
      </c>
      <c r="CL28" s="872">
        <v>0</v>
      </c>
      <c r="CM28" s="874">
        <v>1</v>
      </c>
      <c r="CN28" s="872"/>
      <c r="CO28" s="872"/>
      <c r="CP28" s="858">
        <v>0</v>
      </c>
      <c r="CQ28" s="872">
        <v>0</v>
      </c>
      <c r="CR28" s="872">
        <v>0</v>
      </c>
      <c r="CS28" s="874">
        <v>1</v>
      </c>
      <c r="CT28" s="872"/>
      <c r="CU28" s="871"/>
      <c r="CV28" s="858">
        <v>0</v>
      </c>
      <c r="CW28" s="872">
        <v>0</v>
      </c>
      <c r="CX28" s="872">
        <v>0</v>
      </c>
      <c r="CY28" s="874">
        <v>1</v>
      </c>
      <c r="CZ28" s="872"/>
      <c r="DA28" s="871"/>
      <c r="DB28" s="858">
        <v>0</v>
      </c>
      <c r="DC28" s="872">
        <v>0</v>
      </c>
      <c r="DD28" s="872">
        <v>0</v>
      </c>
      <c r="DE28" s="874">
        <v>1</v>
      </c>
      <c r="DF28" s="872"/>
      <c r="DG28" s="871"/>
      <c r="DH28" s="858">
        <v>0</v>
      </c>
      <c r="DI28" s="872">
        <v>0</v>
      </c>
      <c r="DJ28" s="872">
        <v>0</v>
      </c>
      <c r="DK28" s="874">
        <v>1</v>
      </c>
      <c r="DL28" s="872"/>
      <c r="DM28" s="871"/>
      <c r="DN28" s="858">
        <v>0</v>
      </c>
      <c r="DO28" s="872">
        <v>0</v>
      </c>
      <c r="DP28" s="872">
        <v>0</v>
      </c>
      <c r="DQ28" s="872">
        <v>0</v>
      </c>
    </row>
    <row r="29" s="861" customFormat="1" ht="14.25" customHeight="1" spans="1:121">
      <c r="A29" s="852">
        <v>27</v>
      </c>
      <c r="B29" s="853" t="s">
        <v>1345</v>
      </c>
      <c r="C29" s="853" t="s">
        <v>1351</v>
      </c>
      <c r="D29" s="873" t="s">
        <v>1353</v>
      </c>
      <c r="E29" s="869">
        <v>0</v>
      </c>
      <c r="F29" s="870">
        <v>0.17</v>
      </c>
      <c r="G29" s="871">
        <v>0</v>
      </c>
      <c r="H29" s="872"/>
      <c r="I29" s="871"/>
      <c r="J29" s="858">
        <v>0</v>
      </c>
      <c r="K29" s="872">
        <v>0</v>
      </c>
      <c r="L29" s="872">
        <v>0</v>
      </c>
      <c r="M29" s="874">
        <v>0</v>
      </c>
      <c r="N29" s="872"/>
      <c r="O29" s="871"/>
      <c r="P29" s="858">
        <v>0</v>
      </c>
      <c r="Q29" s="872">
        <v>0</v>
      </c>
      <c r="R29" s="872">
        <v>0</v>
      </c>
      <c r="S29" s="874">
        <v>0</v>
      </c>
      <c r="T29" s="872"/>
      <c r="U29" s="871"/>
      <c r="V29" s="858">
        <v>0</v>
      </c>
      <c r="W29" s="872">
        <v>0</v>
      </c>
      <c r="X29" s="872">
        <v>0</v>
      </c>
      <c r="Y29" s="874">
        <v>0</v>
      </c>
      <c r="Z29" s="858"/>
      <c r="AA29" s="871"/>
      <c r="AB29" s="858">
        <v>0</v>
      </c>
      <c r="AC29" s="872">
        <v>0</v>
      </c>
      <c r="AD29" s="872">
        <v>0</v>
      </c>
      <c r="AE29" s="874">
        <v>0</v>
      </c>
      <c r="AF29" s="872"/>
      <c r="AG29" s="871"/>
      <c r="AH29" s="858">
        <v>0</v>
      </c>
      <c r="AI29" s="872">
        <v>0</v>
      </c>
      <c r="AJ29" s="872">
        <v>0</v>
      </c>
      <c r="AK29" s="874">
        <v>0</v>
      </c>
      <c r="AL29" s="872"/>
      <c r="AM29" s="871"/>
      <c r="AN29" s="858">
        <v>0</v>
      </c>
      <c r="AO29" s="872">
        <v>0</v>
      </c>
      <c r="AP29" s="872">
        <v>0</v>
      </c>
      <c r="AQ29" s="874">
        <v>0</v>
      </c>
      <c r="AR29" s="872"/>
      <c r="AS29" s="872"/>
      <c r="AT29" s="858">
        <v>0</v>
      </c>
      <c r="AU29" s="872">
        <v>0</v>
      </c>
      <c r="AV29" s="872">
        <v>0</v>
      </c>
      <c r="AW29" s="874">
        <v>0</v>
      </c>
      <c r="AX29" s="872"/>
      <c r="AY29" s="872"/>
      <c r="AZ29" s="858">
        <v>0</v>
      </c>
      <c r="BA29" s="872">
        <v>0</v>
      </c>
      <c r="BB29" s="872">
        <v>0</v>
      </c>
      <c r="BC29" s="874">
        <v>0</v>
      </c>
      <c r="BD29" s="858" t="s">
        <v>1441</v>
      </c>
      <c r="BE29" s="871">
        <v>0.25</v>
      </c>
      <c r="BF29" s="858">
        <v>0</v>
      </c>
      <c r="BG29" s="872">
        <v>0</v>
      </c>
      <c r="BH29" s="872">
        <v>0</v>
      </c>
      <c r="BI29" s="874">
        <v>0.25</v>
      </c>
      <c r="BJ29" s="858" t="s">
        <v>1441</v>
      </c>
      <c r="BK29" s="871">
        <v>0.55</v>
      </c>
      <c r="BL29" s="858">
        <v>0</v>
      </c>
      <c r="BM29" s="872">
        <v>0</v>
      </c>
      <c r="BN29" s="872">
        <v>0</v>
      </c>
      <c r="BO29" s="874">
        <v>0.8</v>
      </c>
      <c r="BP29" s="872"/>
      <c r="BQ29" s="871"/>
      <c r="BR29" s="858">
        <v>0</v>
      </c>
      <c r="BS29" s="872">
        <v>0</v>
      </c>
      <c r="BT29" s="872">
        <v>0</v>
      </c>
      <c r="BU29" s="874">
        <v>0.8</v>
      </c>
      <c r="BV29" s="872"/>
      <c r="BW29" s="871"/>
      <c r="BX29" s="858">
        <v>0</v>
      </c>
      <c r="BY29" s="872">
        <v>0</v>
      </c>
      <c r="BZ29" s="872">
        <v>0</v>
      </c>
      <c r="CA29" s="874">
        <v>0.8</v>
      </c>
      <c r="CB29" s="872"/>
      <c r="CC29" s="871"/>
      <c r="CD29" s="858">
        <v>0</v>
      </c>
      <c r="CE29" s="872">
        <v>0</v>
      </c>
      <c r="CF29" s="872">
        <v>0</v>
      </c>
      <c r="CG29" s="874">
        <v>0.8</v>
      </c>
      <c r="CH29" s="872"/>
      <c r="CI29" s="872"/>
      <c r="CJ29" s="858">
        <v>0</v>
      </c>
      <c r="CK29" s="872">
        <v>0</v>
      </c>
      <c r="CL29" s="872">
        <v>0</v>
      </c>
      <c r="CM29" s="874">
        <v>0.8</v>
      </c>
      <c r="CN29" s="872"/>
      <c r="CO29" s="872"/>
      <c r="CP29" s="858">
        <v>0</v>
      </c>
      <c r="CQ29" s="872">
        <v>0</v>
      </c>
      <c r="CR29" s="872">
        <v>0</v>
      </c>
      <c r="CS29" s="874">
        <v>0.8</v>
      </c>
      <c r="CT29" s="872"/>
      <c r="CU29" s="871"/>
      <c r="CV29" s="858">
        <v>0</v>
      </c>
      <c r="CW29" s="872">
        <v>0</v>
      </c>
      <c r="CX29" s="872">
        <v>0</v>
      </c>
      <c r="CY29" s="874">
        <v>0.8</v>
      </c>
      <c r="CZ29" s="872"/>
      <c r="DA29" s="871"/>
      <c r="DB29" s="858">
        <v>0</v>
      </c>
      <c r="DC29" s="872">
        <v>0</v>
      </c>
      <c r="DD29" s="872">
        <v>0</v>
      </c>
      <c r="DE29" s="874">
        <v>0.8</v>
      </c>
      <c r="DF29" s="858" t="s">
        <v>1442</v>
      </c>
      <c r="DG29" s="871">
        <v>0.2</v>
      </c>
      <c r="DH29" s="858">
        <v>0</v>
      </c>
      <c r="DI29" s="872">
        <v>0</v>
      </c>
      <c r="DJ29" s="872">
        <v>0</v>
      </c>
      <c r="DK29" s="874">
        <v>1</v>
      </c>
      <c r="DL29" s="872"/>
      <c r="DM29" s="871"/>
      <c r="DN29" s="858">
        <v>0</v>
      </c>
      <c r="DO29" s="872">
        <v>0</v>
      </c>
      <c r="DP29" s="872">
        <v>0</v>
      </c>
      <c r="DQ29" s="872">
        <v>0</v>
      </c>
    </row>
    <row r="30" s="861" customFormat="1" ht="14.25" customHeight="1" spans="1:121">
      <c r="A30" s="852">
        <v>28</v>
      </c>
      <c r="B30" s="853" t="s">
        <v>1354</v>
      </c>
      <c r="C30" s="853" t="s">
        <v>1355</v>
      </c>
      <c r="D30" s="873" t="s">
        <v>1356</v>
      </c>
      <c r="E30" s="869">
        <v>0</v>
      </c>
      <c r="F30" s="870">
        <v>0.17</v>
      </c>
      <c r="G30" s="871">
        <v>0</v>
      </c>
      <c r="H30" s="872"/>
      <c r="I30" s="871"/>
      <c r="J30" s="858">
        <v>0</v>
      </c>
      <c r="K30" s="872">
        <v>0</v>
      </c>
      <c r="L30" s="872">
        <v>0</v>
      </c>
      <c r="M30" s="874">
        <v>0</v>
      </c>
      <c r="N30" s="872"/>
      <c r="O30" s="871"/>
      <c r="P30" s="858">
        <v>0</v>
      </c>
      <c r="Q30" s="872">
        <v>0</v>
      </c>
      <c r="R30" s="872">
        <v>0</v>
      </c>
      <c r="S30" s="874">
        <v>0</v>
      </c>
      <c r="T30" s="872"/>
      <c r="U30" s="871"/>
      <c r="V30" s="858">
        <v>0</v>
      </c>
      <c r="W30" s="872">
        <v>0</v>
      </c>
      <c r="X30" s="872">
        <v>0</v>
      </c>
      <c r="Y30" s="874">
        <v>0</v>
      </c>
      <c r="Z30" s="872"/>
      <c r="AA30" s="871"/>
      <c r="AB30" s="858">
        <v>0</v>
      </c>
      <c r="AC30" s="872">
        <v>0</v>
      </c>
      <c r="AD30" s="872">
        <v>0</v>
      </c>
      <c r="AE30" s="874">
        <v>0</v>
      </c>
      <c r="AF30" s="872"/>
      <c r="AG30" s="871"/>
      <c r="AH30" s="858">
        <v>0</v>
      </c>
      <c r="AI30" s="872">
        <v>0</v>
      </c>
      <c r="AJ30" s="872">
        <v>0</v>
      </c>
      <c r="AK30" s="874">
        <v>0</v>
      </c>
      <c r="AL30" s="872"/>
      <c r="AM30" s="871"/>
      <c r="AN30" s="858">
        <v>0</v>
      </c>
      <c r="AO30" s="872">
        <v>0</v>
      </c>
      <c r="AP30" s="872">
        <v>0</v>
      </c>
      <c r="AQ30" s="874">
        <v>0</v>
      </c>
      <c r="AR30" s="872"/>
      <c r="AS30" s="872"/>
      <c r="AT30" s="858">
        <v>0</v>
      </c>
      <c r="AU30" s="872">
        <v>0</v>
      </c>
      <c r="AV30" s="872">
        <v>0</v>
      </c>
      <c r="AW30" s="874">
        <v>0</v>
      </c>
      <c r="AX30" s="872"/>
      <c r="AY30" s="872"/>
      <c r="AZ30" s="858">
        <v>0</v>
      </c>
      <c r="BA30" s="872">
        <v>0</v>
      </c>
      <c r="BB30" s="872">
        <v>0</v>
      </c>
      <c r="BC30" s="874">
        <v>0</v>
      </c>
      <c r="BD30" s="858" t="s">
        <v>1441</v>
      </c>
      <c r="BE30" s="871">
        <v>0.25</v>
      </c>
      <c r="BF30" s="858">
        <v>0</v>
      </c>
      <c r="BG30" s="872">
        <v>0</v>
      </c>
      <c r="BH30" s="872">
        <v>0</v>
      </c>
      <c r="BI30" s="874">
        <v>0.25</v>
      </c>
      <c r="BJ30" s="858" t="s">
        <v>1441</v>
      </c>
      <c r="BK30" s="871">
        <v>0.55</v>
      </c>
      <c r="BL30" s="858">
        <v>0</v>
      </c>
      <c r="BM30" s="872">
        <v>0</v>
      </c>
      <c r="BN30" s="872">
        <v>0</v>
      </c>
      <c r="BO30" s="874">
        <v>0.8</v>
      </c>
      <c r="BP30" s="872"/>
      <c r="BQ30" s="871"/>
      <c r="BR30" s="858">
        <v>0</v>
      </c>
      <c r="BS30" s="872">
        <v>0</v>
      </c>
      <c r="BT30" s="872">
        <v>0</v>
      </c>
      <c r="BU30" s="874">
        <v>0.8</v>
      </c>
      <c r="BV30" s="872"/>
      <c r="BW30" s="871"/>
      <c r="BX30" s="858">
        <v>0</v>
      </c>
      <c r="BY30" s="872">
        <v>0</v>
      </c>
      <c r="BZ30" s="872">
        <v>0</v>
      </c>
      <c r="CA30" s="874">
        <v>0.8</v>
      </c>
      <c r="CB30" s="872"/>
      <c r="CC30" s="871"/>
      <c r="CD30" s="858">
        <v>0</v>
      </c>
      <c r="CE30" s="872">
        <v>0</v>
      </c>
      <c r="CF30" s="872">
        <v>0</v>
      </c>
      <c r="CG30" s="874">
        <v>0.8</v>
      </c>
      <c r="CH30" s="872"/>
      <c r="CI30" s="872"/>
      <c r="CJ30" s="858">
        <v>0</v>
      </c>
      <c r="CK30" s="872">
        <v>0</v>
      </c>
      <c r="CL30" s="872">
        <v>0</v>
      </c>
      <c r="CM30" s="874">
        <v>0.8</v>
      </c>
      <c r="CN30" s="872"/>
      <c r="CO30" s="872"/>
      <c r="CP30" s="858">
        <v>0</v>
      </c>
      <c r="CQ30" s="872">
        <v>0</v>
      </c>
      <c r="CR30" s="872">
        <v>0</v>
      </c>
      <c r="CS30" s="874">
        <v>0.8</v>
      </c>
      <c r="CT30" s="872"/>
      <c r="CU30" s="871"/>
      <c r="CV30" s="858">
        <v>0</v>
      </c>
      <c r="CW30" s="872">
        <v>0</v>
      </c>
      <c r="CX30" s="872">
        <v>0</v>
      </c>
      <c r="CY30" s="874">
        <v>0.8</v>
      </c>
      <c r="CZ30" s="872"/>
      <c r="DA30" s="871"/>
      <c r="DB30" s="858">
        <v>0</v>
      </c>
      <c r="DC30" s="872">
        <v>0</v>
      </c>
      <c r="DD30" s="872">
        <v>0</v>
      </c>
      <c r="DE30" s="874">
        <v>0.8</v>
      </c>
      <c r="DF30" s="858" t="s">
        <v>1442</v>
      </c>
      <c r="DG30" s="871">
        <v>0.2</v>
      </c>
      <c r="DH30" s="858">
        <v>0</v>
      </c>
      <c r="DI30" s="872">
        <v>0</v>
      </c>
      <c r="DJ30" s="872">
        <v>0</v>
      </c>
      <c r="DK30" s="874">
        <v>1</v>
      </c>
      <c r="DL30" s="872"/>
      <c r="DM30" s="871"/>
      <c r="DN30" s="858">
        <v>0</v>
      </c>
      <c r="DO30" s="872">
        <v>0</v>
      </c>
      <c r="DP30" s="872">
        <v>0</v>
      </c>
      <c r="DQ30" s="872">
        <v>0</v>
      </c>
    </row>
    <row r="31" s="861" customFormat="1" ht="14.25" customHeight="1" spans="1:121">
      <c r="A31" s="852">
        <v>29</v>
      </c>
      <c r="B31" s="853" t="s">
        <v>1354</v>
      </c>
      <c r="C31" s="853" t="s">
        <v>1355</v>
      </c>
      <c r="D31" s="873" t="s">
        <v>1357</v>
      </c>
      <c r="E31" s="869">
        <v>462.323169403482</v>
      </c>
      <c r="F31" s="870">
        <v>0.17</v>
      </c>
      <c r="G31" s="871">
        <v>0</v>
      </c>
      <c r="H31" s="872"/>
      <c r="I31" s="871"/>
      <c r="J31" s="858">
        <v>0</v>
      </c>
      <c r="K31" s="872">
        <v>0</v>
      </c>
      <c r="L31" s="872">
        <v>0</v>
      </c>
      <c r="M31" s="874">
        <v>0</v>
      </c>
      <c r="N31" s="872"/>
      <c r="O31" s="871"/>
      <c r="P31" s="858">
        <v>0</v>
      </c>
      <c r="Q31" s="872">
        <v>0</v>
      </c>
      <c r="R31" s="872">
        <v>0</v>
      </c>
      <c r="S31" s="874">
        <v>0</v>
      </c>
      <c r="T31" s="872"/>
      <c r="U31" s="871"/>
      <c r="V31" s="858">
        <v>0</v>
      </c>
      <c r="W31" s="872">
        <v>0</v>
      </c>
      <c r="X31" s="872">
        <v>0</v>
      </c>
      <c r="Y31" s="874">
        <v>0</v>
      </c>
      <c r="Z31" s="872"/>
      <c r="AA31" s="871"/>
      <c r="AB31" s="858">
        <v>0</v>
      </c>
      <c r="AC31" s="872">
        <v>0</v>
      </c>
      <c r="AD31" s="872">
        <v>0</v>
      </c>
      <c r="AE31" s="874">
        <v>0</v>
      </c>
      <c r="AF31" s="872"/>
      <c r="AG31" s="871"/>
      <c r="AH31" s="858">
        <v>0</v>
      </c>
      <c r="AI31" s="872">
        <v>0</v>
      </c>
      <c r="AJ31" s="872">
        <v>0</v>
      </c>
      <c r="AK31" s="874">
        <v>0</v>
      </c>
      <c r="AL31" s="858" t="s">
        <v>1441</v>
      </c>
      <c r="AM31" s="871">
        <v>0.35</v>
      </c>
      <c r="AN31" s="858">
        <v>161.813109291219</v>
      </c>
      <c r="AO31" s="872">
        <v>138.301802813008</v>
      </c>
      <c r="AP31" s="872">
        <v>23.5113064782113</v>
      </c>
      <c r="AQ31" s="874">
        <v>0.35</v>
      </c>
      <c r="AR31" s="872"/>
      <c r="AS31" s="872"/>
      <c r="AT31" s="858">
        <v>0</v>
      </c>
      <c r="AU31" s="872">
        <v>0</v>
      </c>
      <c r="AV31" s="872">
        <v>0</v>
      </c>
      <c r="AW31" s="874">
        <v>0.35</v>
      </c>
      <c r="AX31" s="872"/>
      <c r="AY31" s="872"/>
      <c r="AZ31" s="858">
        <v>0</v>
      </c>
      <c r="BA31" s="872">
        <v>0</v>
      </c>
      <c r="BB31" s="872">
        <v>0</v>
      </c>
      <c r="BC31" s="874">
        <v>0.35</v>
      </c>
      <c r="BD31" s="858" t="s">
        <v>1441</v>
      </c>
      <c r="BE31" s="871">
        <v>0.1</v>
      </c>
      <c r="BF31" s="858">
        <v>46.2323169403482</v>
      </c>
      <c r="BG31" s="872">
        <v>39.5148008037164</v>
      </c>
      <c r="BH31" s="872">
        <v>6.71751613663179</v>
      </c>
      <c r="BI31" s="874">
        <v>0.45</v>
      </c>
      <c r="BJ31" s="858" t="s">
        <v>1441</v>
      </c>
      <c r="BK31" s="871">
        <v>0.4</v>
      </c>
      <c r="BL31" s="858">
        <v>184.929267761393</v>
      </c>
      <c r="BM31" s="872">
        <v>158.059203214866</v>
      </c>
      <c r="BN31" s="872">
        <v>26.8700645465272</v>
      </c>
      <c r="BO31" s="874">
        <v>0.85</v>
      </c>
      <c r="BP31" s="872"/>
      <c r="BQ31" s="871"/>
      <c r="BR31" s="858">
        <v>0</v>
      </c>
      <c r="BS31" s="872">
        <v>0</v>
      </c>
      <c r="BT31" s="872">
        <v>0</v>
      </c>
      <c r="BU31" s="874">
        <v>0.85</v>
      </c>
      <c r="BV31" s="872"/>
      <c r="BW31" s="871"/>
      <c r="BX31" s="858">
        <v>0</v>
      </c>
      <c r="BY31" s="872">
        <v>0</v>
      </c>
      <c r="BZ31" s="872">
        <v>0</v>
      </c>
      <c r="CA31" s="874">
        <v>0.85</v>
      </c>
      <c r="CB31" s="872"/>
      <c r="CC31" s="871"/>
      <c r="CD31" s="858">
        <v>0</v>
      </c>
      <c r="CE31" s="872">
        <v>0</v>
      </c>
      <c r="CF31" s="872">
        <v>0</v>
      </c>
      <c r="CG31" s="874">
        <v>0.85</v>
      </c>
      <c r="CH31" s="872"/>
      <c r="CI31" s="872"/>
      <c r="CJ31" s="858">
        <v>0</v>
      </c>
      <c r="CK31" s="872">
        <v>0</v>
      </c>
      <c r="CL31" s="872">
        <v>0</v>
      </c>
      <c r="CM31" s="874">
        <v>0.85</v>
      </c>
      <c r="CN31" s="872"/>
      <c r="CO31" s="872"/>
      <c r="CP31" s="858">
        <v>0</v>
      </c>
      <c r="CQ31" s="872">
        <v>0</v>
      </c>
      <c r="CR31" s="872">
        <v>0</v>
      </c>
      <c r="CS31" s="874">
        <v>0.85</v>
      </c>
      <c r="CT31" s="872"/>
      <c r="CU31" s="871"/>
      <c r="CV31" s="858">
        <v>0</v>
      </c>
      <c r="CW31" s="872">
        <v>0</v>
      </c>
      <c r="CX31" s="872">
        <v>0</v>
      </c>
      <c r="CY31" s="874">
        <v>0.85</v>
      </c>
      <c r="CZ31" s="872"/>
      <c r="DA31" s="871"/>
      <c r="DB31" s="858">
        <v>0</v>
      </c>
      <c r="DC31" s="872">
        <v>0</v>
      </c>
      <c r="DD31" s="872">
        <v>0</v>
      </c>
      <c r="DE31" s="874">
        <v>0.85</v>
      </c>
      <c r="DF31" s="858" t="s">
        <v>1442</v>
      </c>
      <c r="DG31" s="871">
        <v>0.15</v>
      </c>
      <c r="DH31" s="858">
        <v>69.3484754105223</v>
      </c>
      <c r="DI31" s="872">
        <v>59.2722012055747</v>
      </c>
      <c r="DJ31" s="872">
        <v>10.0762742049477</v>
      </c>
      <c r="DK31" s="874">
        <v>1</v>
      </c>
      <c r="DL31" s="872"/>
      <c r="DM31" s="871"/>
      <c r="DN31" s="858">
        <v>0</v>
      </c>
      <c r="DO31" s="872">
        <v>0</v>
      </c>
      <c r="DP31" s="872">
        <v>0</v>
      </c>
      <c r="DQ31" s="872">
        <v>0</v>
      </c>
    </row>
    <row r="32" s="861" customFormat="1" ht="14.25" customHeight="1" spans="1:121">
      <c r="A32" s="852">
        <v>30</v>
      </c>
      <c r="B32" s="853" t="s">
        <v>1345</v>
      </c>
      <c r="C32" s="853" t="s">
        <v>1351</v>
      </c>
      <c r="D32" s="873" t="s">
        <v>1358</v>
      </c>
      <c r="E32" s="869">
        <v>353.134905806208</v>
      </c>
      <c r="F32" s="870">
        <v>0.11</v>
      </c>
      <c r="G32" s="871">
        <v>0</v>
      </c>
      <c r="H32" s="872"/>
      <c r="I32" s="871"/>
      <c r="J32" s="858">
        <v>0</v>
      </c>
      <c r="K32" s="872">
        <v>0</v>
      </c>
      <c r="L32" s="872">
        <v>0</v>
      </c>
      <c r="M32" s="874">
        <v>0</v>
      </c>
      <c r="N32" s="872"/>
      <c r="O32" s="871"/>
      <c r="P32" s="858">
        <v>0</v>
      </c>
      <c r="Q32" s="872">
        <v>0</v>
      </c>
      <c r="R32" s="872">
        <v>0</v>
      </c>
      <c r="S32" s="874">
        <v>0</v>
      </c>
      <c r="T32" s="872"/>
      <c r="U32" s="871"/>
      <c r="V32" s="858">
        <v>0</v>
      </c>
      <c r="W32" s="872">
        <v>0</v>
      </c>
      <c r="X32" s="872">
        <v>0</v>
      </c>
      <c r="Y32" s="874">
        <v>0</v>
      </c>
      <c r="Z32" s="872"/>
      <c r="AA32" s="871"/>
      <c r="AB32" s="858">
        <v>0</v>
      </c>
      <c r="AC32" s="872">
        <v>0</v>
      </c>
      <c r="AD32" s="872">
        <v>0</v>
      </c>
      <c r="AE32" s="874">
        <v>0</v>
      </c>
      <c r="AF32" s="872"/>
      <c r="AG32" s="871"/>
      <c r="AH32" s="858">
        <v>0</v>
      </c>
      <c r="AI32" s="872">
        <v>0</v>
      </c>
      <c r="AJ32" s="872">
        <v>0</v>
      </c>
      <c r="AK32" s="874">
        <v>0</v>
      </c>
      <c r="AL32" s="858" t="s">
        <v>1441</v>
      </c>
      <c r="AM32" s="871">
        <v>0.35</v>
      </c>
      <c r="AN32" s="858">
        <v>123.597217032173</v>
      </c>
      <c r="AO32" s="872">
        <v>111.348844173129</v>
      </c>
      <c r="AP32" s="872">
        <v>12.2483728590442</v>
      </c>
      <c r="AQ32" s="874">
        <v>0.35</v>
      </c>
      <c r="AR32" s="872"/>
      <c r="AS32" s="872"/>
      <c r="AT32" s="858">
        <v>0</v>
      </c>
      <c r="AU32" s="872">
        <v>0</v>
      </c>
      <c r="AV32" s="872">
        <v>0</v>
      </c>
      <c r="AW32" s="874">
        <v>0.35</v>
      </c>
      <c r="AX32" s="872"/>
      <c r="AY32" s="872"/>
      <c r="AZ32" s="858">
        <v>0</v>
      </c>
      <c r="BA32" s="872">
        <v>0</v>
      </c>
      <c r="BB32" s="872">
        <v>0</v>
      </c>
      <c r="BC32" s="874">
        <v>0.35</v>
      </c>
      <c r="BD32" s="858" t="s">
        <v>1441</v>
      </c>
      <c r="BE32" s="871">
        <v>0.1</v>
      </c>
      <c r="BF32" s="858">
        <v>35.3134905806208</v>
      </c>
      <c r="BG32" s="872">
        <v>31.8139554780368</v>
      </c>
      <c r="BH32" s="872">
        <v>3.49953510258405</v>
      </c>
      <c r="BI32" s="874">
        <v>0.45</v>
      </c>
      <c r="BJ32" s="858" t="s">
        <v>1441</v>
      </c>
      <c r="BK32" s="871">
        <v>0.4</v>
      </c>
      <c r="BL32" s="858">
        <v>141.253962322483</v>
      </c>
      <c r="BM32" s="872">
        <v>127.255821912147</v>
      </c>
      <c r="BN32" s="872">
        <v>13.9981404103362</v>
      </c>
      <c r="BO32" s="874">
        <v>0.85</v>
      </c>
      <c r="BP32" s="872"/>
      <c r="BQ32" s="871"/>
      <c r="BR32" s="858">
        <v>0</v>
      </c>
      <c r="BS32" s="872">
        <v>0</v>
      </c>
      <c r="BT32" s="872">
        <v>0</v>
      </c>
      <c r="BU32" s="874">
        <v>0.85</v>
      </c>
      <c r="BV32" s="872"/>
      <c r="BW32" s="871"/>
      <c r="BX32" s="858">
        <v>0</v>
      </c>
      <c r="BY32" s="872">
        <v>0</v>
      </c>
      <c r="BZ32" s="872">
        <v>0</v>
      </c>
      <c r="CA32" s="874">
        <v>0.85</v>
      </c>
      <c r="CB32" s="872"/>
      <c r="CC32" s="871"/>
      <c r="CD32" s="858">
        <v>0</v>
      </c>
      <c r="CE32" s="872">
        <v>0</v>
      </c>
      <c r="CF32" s="872">
        <v>0</v>
      </c>
      <c r="CG32" s="874">
        <v>0.85</v>
      </c>
      <c r="CH32" s="872"/>
      <c r="CI32" s="872"/>
      <c r="CJ32" s="858">
        <v>0</v>
      </c>
      <c r="CK32" s="872">
        <v>0</v>
      </c>
      <c r="CL32" s="872">
        <v>0</v>
      </c>
      <c r="CM32" s="874">
        <v>0.85</v>
      </c>
      <c r="CN32" s="872"/>
      <c r="CO32" s="872"/>
      <c r="CP32" s="858">
        <v>0</v>
      </c>
      <c r="CQ32" s="872">
        <v>0</v>
      </c>
      <c r="CR32" s="872">
        <v>0</v>
      </c>
      <c r="CS32" s="874">
        <v>0.85</v>
      </c>
      <c r="CT32" s="872"/>
      <c r="CU32" s="871"/>
      <c r="CV32" s="858">
        <v>0</v>
      </c>
      <c r="CW32" s="872">
        <v>0</v>
      </c>
      <c r="CX32" s="872">
        <v>0</v>
      </c>
      <c r="CY32" s="874">
        <v>0.85</v>
      </c>
      <c r="CZ32" s="872"/>
      <c r="DA32" s="871"/>
      <c r="DB32" s="858">
        <v>0</v>
      </c>
      <c r="DC32" s="872">
        <v>0</v>
      </c>
      <c r="DD32" s="872">
        <v>0</v>
      </c>
      <c r="DE32" s="874">
        <v>0.85</v>
      </c>
      <c r="DF32" s="858" t="s">
        <v>1442</v>
      </c>
      <c r="DG32" s="871">
        <v>0.15</v>
      </c>
      <c r="DH32" s="858">
        <v>52.9702358709312</v>
      </c>
      <c r="DI32" s="872">
        <v>47.7209332170552</v>
      </c>
      <c r="DJ32" s="872">
        <v>5.24930265387607</v>
      </c>
      <c r="DK32" s="874">
        <v>1</v>
      </c>
      <c r="DL32" s="872"/>
      <c r="DM32" s="871"/>
      <c r="DN32" s="858">
        <v>0</v>
      </c>
      <c r="DO32" s="872">
        <v>0</v>
      </c>
      <c r="DP32" s="872">
        <v>0</v>
      </c>
      <c r="DQ32" s="872">
        <v>0</v>
      </c>
    </row>
    <row r="33" s="861" customFormat="1" ht="14.25" customHeight="1" spans="1:121">
      <c r="A33" s="852">
        <v>31</v>
      </c>
      <c r="B33" s="853" t="s">
        <v>1354</v>
      </c>
      <c r="C33" s="853" t="s">
        <v>1355</v>
      </c>
      <c r="D33" s="873" t="s">
        <v>891</v>
      </c>
      <c r="E33" s="869">
        <v>839.226483940437</v>
      </c>
      <c r="F33" s="870">
        <v>0.17</v>
      </c>
      <c r="G33" s="874">
        <v>0</v>
      </c>
      <c r="H33" s="872"/>
      <c r="I33" s="875">
        <v>0</v>
      </c>
      <c r="J33" s="858">
        <v>0</v>
      </c>
      <c r="K33" s="872">
        <v>0</v>
      </c>
      <c r="L33" s="872">
        <v>0</v>
      </c>
      <c r="M33" s="874">
        <v>0</v>
      </c>
      <c r="N33" s="872"/>
      <c r="O33" s="875">
        <v>0</v>
      </c>
      <c r="P33" s="858">
        <v>0</v>
      </c>
      <c r="Q33" s="872">
        <v>0</v>
      </c>
      <c r="R33" s="872">
        <v>0</v>
      </c>
      <c r="S33" s="874">
        <v>0</v>
      </c>
      <c r="T33" s="872"/>
      <c r="U33" s="875">
        <v>0</v>
      </c>
      <c r="V33" s="858">
        <v>0</v>
      </c>
      <c r="W33" s="872">
        <v>0</v>
      </c>
      <c r="X33" s="872">
        <v>0</v>
      </c>
      <c r="Y33" s="874">
        <v>0</v>
      </c>
      <c r="Z33" s="872"/>
      <c r="AA33" s="875">
        <v>0</v>
      </c>
      <c r="AB33" s="858">
        <v>0</v>
      </c>
      <c r="AC33" s="872">
        <v>0</v>
      </c>
      <c r="AD33" s="872">
        <v>0</v>
      </c>
      <c r="AE33" s="874">
        <v>0</v>
      </c>
      <c r="AF33" s="872"/>
      <c r="AG33" s="875">
        <v>0</v>
      </c>
      <c r="AH33" s="858">
        <v>0</v>
      </c>
      <c r="AI33" s="872">
        <v>0</v>
      </c>
      <c r="AJ33" s="872">
        <v>0</v>
      </c>
      <c r="AK33" s="874">
        <v>0</v>
      </c>
      <c r="AL33" s="858" t="s">
        <v>1441</v>
      </c>
      <c r="AM33" s="874">
        <v>0.2</v>
      </c>
      <c r="AN33" s="858">
        <v>167.845296788087</v>
      </c>
      <c r="AO33" s="872">
        <v>143.457518622297</v>
      </c>
      <c r="AP33" s="872">
        <v>24.3877781657905</v>
      </c>
      <c r="AQ33" s="874">
        <v>0.2</v>
      </c>
      <c r="AR33" s="872"/>
      <c r="AS33" s="871">
        <v>0</v>
      </c>
      <c r="AT33" s="858">
        <v>0</v>
      </c>
      <c r="AU33" s="872">
        <v>0</v>
      </c>
      <c r="AV33" s="872">
        <v>0</v>
      </c>
      <c r="AW33" s="874">
        <v>0.2</v>
      </c>
      <c r="AX33" s="872"/>
      <c r="AY33" s="871">
        <v>0</v>
      </c>
      <c r="AZ33" s="858">
        <v>0</v>
      </c>
      <c r="BA33" s="872">
        <v>0</v>
      </c>
      <c r="BB33" s="872">
        <v>0</v>
      </c>
      <c r="BC33" s="874">
        <v>0.2</v>
      </c>
      <c r="BD33" s="858" t="s">
        <v>1441</v>
      </c>
      <c r="BE33" s="871">
        <v>0.2</v>
      </c>
      <c r="BF33" s="858">
        <v>167.845296788087</v>
      </c>
      <c r="BG33" s="872">
        <v>143.457518622297</v>
      </c>
      <c r="BH33" s="872">
        <v>24.3877781657905</v>
      </c>
      <c r="BI33" s="874">
        <v>0.4</v>
      </c>
      <c r="BJ33" s="858" t="s">
        <v>1441</v>
      </c>
      <c r="BK33" s="871">
        <v>0.2</v>
      </c>
      <c r="BL33" s="858">
        <v>167.845296788087</v>
      </c>
      <c r="BM33" s="872">
        <v>143.457518622297</v>
      </c>
      <c r="BN33" s="872">
        <v>24.3877781657905</v>
      </c>
      <c r="BO33" s="874">
        <v>0.6</v>
      </c>
      <c r="BP33" s="858" t="s">
        <v>1441</v>
      </c>
      <c r="BQ33" s="871">
        <v>0.3</v>
      </c>
      <c r="BR33" s="858">
        <v>251.767945182131</v>
      </c>
      <c r="BS33" s="872">
        <v>215.186277933445</v>
      </c>
      <c r="BT33" s="872">
        <v>36.5816672486857</v>
      </c>
      <c r="BU33" s="874">
        <v>0.9</v>
      </c>
      <c r="BV33" s="858" t="s">
        <v>1441</v>
      </c>
      <c r="BW33" s="871">
        <v>0</v>
      </c>
      <c r="BX33" s="858">
        <v>0</v>
      </c>
      <c r="BY33" s="872">
        <v>0</v>
      </c>
      <c r="BZ33" s="872">
        <v>0</v>
      </c>
      <c r="CA33" s="874">
        <v>0.9</v>
      </c>
      <c r="CB33" s="858" t="s">
        <v>1441</v>
      </c>
      <c r="CC33" s="871">
        <v>0.1</v>
      </c>
      <c r="CD33" s="858">
        <v>83.9226483940437</v>
      </c>
      <c r="CE33" s="872">
        <v>71.7287593111485</v>
      </c>
      <c r="CF33" s="872">
        <v>12.1938890828952</v>
      </c>
      <c r="CG33" s="874">
        <v>1</v>
      </c>
      <c r="CH33" s="858"/>
      <c r="CI33" s="871">
        <v>0</v>
      </c>
      <c r="CJ33" s="858">
        <v>0</v>
      </c>
      <c r="CK33" s="872">
        <v>0</v>
      </c>
      <c r="CL33" s="872">
        <v>0</v>
      </c>
      <c r="CM33" s="874">
        <v>1</v>
      </c>
      <c r="CN33" s="858" t="s">
        <v>1441</v>
      </c>
      <c r="CO33" s="871">
        <v>0</v>
      </c>
      <c r="CP33" s="858">
        <v>0</v>
      </c>
      <c r="CQ33" s="872">
        <v>0</v>
      </c>
      <c r="CR33" s="872">
        <v>0</v>
      </c>
      <c r="CS33" s="874">
        <v>1</v>
      </c>
      <c r="CT33" s="858" t="s">
        <v>1441</v>
      </c>
      <c r="CU33" s="871">
        <v>0</v>
      </c>
      <c r="CV33" s="858">
        <v>0</v>
      </c>
      <c r="CW33" s="872">
        <v>0</v>
      </c>
      <c r="CX33" s="872">
        <v>0</v>
      </c>
      <c r="CY33" s="874">
        <v>1</v>
      </c>
      <c r="CZ33" s="858" t="s">
        <v>1441</v>
      </c>
      <c r="DA33" s="871">
        <v>0</v>
      </c>
      <c r="DB33" s="858">
        <v>0</v>
      </c>
      <c r="DC33" s="872">
        <v>0</v>
      </c>
      <c r="DD33" s="872">
        <v>0</v>
      </c>
      <c r="DE33" s="874">
        <v>1</v>
      </c>
      <c r="DF33" s="858" t="s">
        <v>1441</v>
      </c>
      <c r="DG33" s="871">
        <v>0</v>
      </c>
      <c r="DH33" s="858">
        <v>0</v>
      </c>
      <c r="DI33" s="872">
        <v>0</v>
      </c>
      <c r="DJ33" s="872">
        <v>0</v>
      </c>
      <c r="DK33" s="874">
        <v>1</v>
      </c>
      <c r="DL33" s="858" t="s">
        <v>1441</v>
      </c>
      <c r="DM33" s="871">
        <v>0</v>
      </c>
      <c r="DN33" s="858">
        <v>0</v>
      </c>
      <c r="DO33" s="872">
        <v>0</v>
      </c>
      <c r="DP33" s="872">
        <v>0</v>
      </c>
      <c r="DQ33" s="872">
        <v>0</v>
      </c>
    </row>
    <row r="34" s="861" customFormat="1" ht="14.25" customHeight="1" spans="1:121">
      <c r="A34" s="852">
        <v>32</v>
      </c>
      <c r="B34" s="853" t="s">
        <v>1345</v>
      </c>
      <c r="C34" s="858" t="s">
        <v>1346</v>
      </c>
      <c r="D34" s="873" t="s">
        <v>913</v>
      </c>
      <c r="E34" s="869">
        <v>849.627040891249</v>
      </c>
      <c r="F34" s="870">
        <v>0.11</v>
      </c>
      <c r="G34" s="874">
        <v>0</v>
      </c>
      <c r="H34" s="872"/>
      <c r="I34" s="875">
        <v>0</v>
      </c>
      <c r="J34" s="858">
        <v>0</v>
      </c>
      <c r="K34" s="872">
        <v>0</v>
      </c>
      <c r="L34" s="872">
        <v>0</v>
      </c>
      <c r="M34" s="874">
        <v>0</v>
      </c>
      <c r="N34" s="872"/>
      <c r="O34" s="875">
        <v>0</v>
      </c>
      <c r="P34" s="858">
        <v>0</v>
      </c>
      <c r="Q34" s="872">
        <v>0</v>
      </c>
      <c r="R34" s="872">
        <v>0</v>
      </c>
      <c r="S34" s="874">
        <v>0</v>
      </c>
      <c r="T34" s="872"/>
      <c r="U34" s="875">
        <v>0</v>
      </c>
      <c r="V34" s="858">
        <v>0</v>
      </c>
      <c r="W34" s="872">
        <v>0</v>
      </c>
      <c r="X34" s="872">
        <v>0</v>
      </c>
      <c r="Y34" s="874">
        <v>0</v>
      </c>
      <c r="Z34" s="872"/>
      <c r="AA34" s="875">
        <v>0</v>
      </c>
      <c r="AB34" s="858">
        <v>0</v>
      </c>
      <c r="AC34" s="872">
        <v>0</v>
      </c>
      <c r="AD34" s="872">
        <v>0</v>
      </c>
      <c r="AE34" s="874">
        <v>0</v>
      </c>
      <c r="AF34" s="872"/>
      <c r="AG34" s="875">
        <v>0</v>
      </c>
      <c r="AH34" s="858">
        <v>0</v>
      </c>
      <c r="AI34" s="872">
        <v>0</v>
      </c>
      <c r="AJ34" s="872">
        <v>0</v>
      </c>
      <c r="AK34" s="874">
        <v>0</v>
      </c>
      <c r="AL34" s="858"/>
      <c r="AM34" s="874">
        <v>0</v>
      </c>
      <c r="AN34" s="858">
        <v>0</v>
      </c>
      <c r="AO34" s="872">
        <v>0</v>
      </c>
      <c r="AP34" s="872">
        <v>0</v>
      </c>
      <c r="AQ34" s="874">
        <v>0</v>
      </c>
      <c r="AR34" s="858"/>
      <c r="AS34" s="874">
        <v>0</v>
      </c>
      <c r="AT34" s="858">
        <v>0</v>
      </c>
      <c r="AU34" s="872">
        <v>0</v>
      </c>
      <c r="AV34" s="872">
        <v>0</v>
      </c>
      <c r="AW34" s="874">
        <v>0</v>
      </c>
      <c r="AX34" s="858"/>
      <c r="AY34" s="874">
        <v>0</v>
      </c>
      <c r="AZ34" s="858">
        <v>0</v>
      </c>
      <c r="BA34" s="872">
        <v>0</v>
      </c>
      <c r="BB34" s="872">
        <v>0</v>
      </c>
      <c r="BC34" s="874">
        <v>0</v>
      </c>
      <c r="BD34" s="858"/>
      <c r="BE34" s="874">
        <v>0</v>
      </c>
      <c r="BF34" s="858">
        <v>0</v>
      </c>
      <c r="BG34" s="872">
        <v>0</v>
      </c>
      <c r="BH34" s="872">
        <v>0</v>
      </c>
      <c r="BI34" s="874">
        <v>0</v>
      </c>
      <c r="BJ34" s="858"/>
      <c r="BK34" s="874">
        <v>0</v>
      </c>
      <c r="BL34" s="858">
        <v>0</v>
      </c>
      <c r="BM34" s="872">
        <v>0</v>
      </c>
      <c r="BN34" s="872">
        <v>0</v>
      </c>
      <c r="BO34" s="874">
        <v>0</v>
      </c>
      <c r="BP34" s="858"/>
      <c r="BQ34" s="874">
        <v>0</v>
      </c>
      <c r="BR34" s="858">
        <v>0</v>
      </c>
      <c r="BS34" s="872">
        <v>0</v>
      </c>
      <c r="BT34" s="872">
        <v>0</v>
      </c>
      <c r="BU34" s="874">
        <v>0</v>
      </c>
      <c r="BV34" s="858" t="s">
        <v>1440</v>
      </c>
      <c r="BW34" s="874">
        <v>0.7</v>
      </c>
      <c r="BX34" s="858">
        <v>594.738928623874</v>
      </c>
      <c r="BY34" s="872">
        <v>535.800836598085</v>
      </c>
      <c r="BZ34" s="872">
        <v>58.9380920257894</v>
      </c>
      <c r="CA34" s="874">
        <v>0.7</v>
      </c>
      <c r="CB34" s="858"/>
      <c r="CC34" s="871">
        <v>0</v>
      </c>
      <c r="CD34" s="858">
        <v>0</v>
      </c>
      <c r="CE34" s="872">
        <v>0</v>
      </c>
      <c r="CF34" s="872">
        <v>0</v>
      </c>
      <c r="CG34" s="874">
        <v>0.7</v>
      </c>
      <c r="CH34" s="858"/>
      <c r="CI34" s="871">
        <v>0</v>
      </c>
      <c r="CJ34" s="858">
        <v>0</v>
      </c>
      <c r="CK34" s="872">
        <v>0</v>
      </c>
      <c r="CL34" s="872">
        <v>0</v>
      </c>
      <c r="CM34" s="874">
        <v>0.7</v>
      </c>
      <c r="CN34" s="858"/>
      <c r="CO34" s="871">
        <v>0</v>
      </c>
      <c r="CP34" s="858">
        <v>0</v>
      </c>
      <c r="CQ34" s="872">
        <v>0</v>
      </c>
      <c r="CR34" s="872">
        <v>0</v>
      </c>
      <c r="CS34" s="874">
        <v>0.7</v>
      </c>
      <c r="CT34" s="858"/>
      <c r="CU34" s="871">
        <v>0</v>
      </c>
      <c r="CV34" s="858">
        <v>0</v>
      </c>
      <c r="CW34" s="872">
        <v>0</v>
      </c>
      <c r="CX34" s="872">
        <v>0</v>
      </c>
      <c r="CY34" s="874">
        <v>0.7</v>
      </c>
      <c r="CZ34" s="858"/>
      <c r="DA34" s="871">
        <v>0.3</v>
      </c>
      <c r="DB34" s="858">
        <v>254.888112267375</v>
      </c>
      <c r="DC34" s="872">
        <v>229.628929970608</v>
      </c>
      <c r="DD34" s="872">
        <v>25.2591822967669</v>
      </c>
      <c r="DE34" s="874">
        <v>1</v>
      </c>
      <c r="DF34" s="858"/>
      <c r="DG34" s="871">
        <v>0</v>
      </c>
      <c r="DH34" s="858">
        <v>0</v>
      </c>
      <c r="DI34" s="872">
        <v>0</v>
      </c>
      <c r="DJ34" s="872">
        <v>0</v>
      </c>
      <c r="DK34" s="874">
        <v>1</v>
      </c>
      <c r="DL34" s="858"/>
      <c r="DM34" s="871">
        <v>0</v>
      </c>
      <c r="DN34" s="858">
        <v>0</v>
      </c>
      <c r="DO34" s="872">
        <v>0</v>
      </c>
      <c r="DP34" s="872">
        <v>0</v>
      </c>
      <c r="DQ34" s="872">
        <v>0</v>
      </c>
    </row>
    <row r="35" s="861" customFormat="1" ht="14.25" customHeight="1" spans="1:121">
      <c r="A35" s="852">
        <v>33</v>
      </c>
      <c r="B35" s="853" t="s">
        <v>1354</v>
      </c>
      <c r="C35" s="853" t="s">
        <v>1355</v>
      </c>
      <c r="D35" s="873" t="s">
        <v>943</v>
      </c>
      <c r="E35" s="869">
        <v>1238.32130107818</v>
      </c>
      <c r="F35" s="870">
        <v>0.17</v>
      </c>
      <c r="G35" s="874">
        <v>0</v>
      </c>
      <c r="H35" s="872"/>
      <c r="I35" s="875">
        <v>0</v>
      </c>
      <c r="J35" s="858">
        <v>0</v>
      </c>
      <c r="K35" s="872">
        <v>0</v>
      </c>
      <c r="L35" s="872">
        <v>0</v>
      </c>
      <c r="M35" s="874">
        <v>0</v>
      </c>
      <c r="N35" s="872"/>
      <c r="O35" s="875">
        <v>0</v>
      </c>
      <c r="P35" s="858">
        <v>0</v>
      </c>
      <c r="Q35" s="872">
        <v>0</v>
      </c>
      <c r="R35" s="872">
        <v>0</v>
      </c>
      <c r="S35" s="874">
        <v>0</v>
      </c>
      <c r="T35" s="872"/>
      <c r="U35" s="875">
        <v>0</v>
      </c>
      <c r="V35" s="858">
        <v>0</v>
      </c>
      <c r="W35" s="872">
        <v>0</v>
      </c>
      <c r="X35" s="872">
        <v>0</v>
      </c>
      <c r="Y35" s="874">
        <v>0</v>
      </c>
      <c r="Z35" s="872"/>
      <c r="AA35" s="875">
        <v>0</v>
      </c>
      <c r="AB35" s="858">
        <v>0</v>
      </c>
      <c r="AC35" s="872">
        <v>0</v>
      </c>
      <c r="AD35" s="872">
        <v>0</v>
      </c>
      <c r="AE35" s="874">
        <v>0</v>
      </c>
      <c r="AF35" s="872"/>
      <c r="AG35" s="875">
        <v>0</v>
      </c>
      <c r="AH35" s="858">
        <v>0</v>
      </c>
      <c r="AI35" s="872">
        <v>0</v>
      </c>
      <c r="AJ35" s="872">
        <v>0</v>
      </c>
      <c r="AK35" s="874">
        <v>0</v>
      </c>
      <c r="AL35" s="858" t="s">
        <v>1441</v>
      </c>
      <c r="AM35" s="874">
        <v>0.2</v>
      </c>
      <c r="AN35" s="858">
        <v>247.664260215635</v>
      </c>
      <c r="AO35" s="872">
        <v>211.678854885158</v>
      </c>
      <c r="AP35" s="872">
        <v>35.9854053304769</v>
      </c>
      <c r="AQ35" s="874">
        <v>0.2</v>
      </c>
      <c r="AR35" s="872"/>
      <c r="AS35" s="871">
        <v>0</v>
      </c>
      <c r="AT35" s="858">
        <v>0</v>
      </c>
      <c r="AU35" s="872">
        <v>0</v>
      </c>
      <c r="AV35" s="872">
        <v>0</v>
      </c>
      <c r="AW35" s="874">
        <v>0.2</v>
      </c>
      <c r="AX35" s="872"/>
      <c r="AY35" s="871">
        <v>0</v>
      </c>
      <c r="AZ35" s="858">
        <v>0</v>
      </c>
      <c r="BA35" s="872">
        <v>0</v>
      </c>
      <c r="BB35" s="872">
        <v>0</v>
      </c>
      <c r="BC35" s="874">
        <v>0.2</v>
      </c>
      <c r="BD35" s="858" t="s">
        <v>1441</v>
      </c>
      <c r="BE35" s="871">
        <v>0.2</v>
      </c>
      <c r="BF35" s="858">
        <v>247.664260215635</v>
      </c>
      <c r="BG35" s="872">
        <v>211.678854885158</v>
      </c>
      <c r="BH35" s="872">
        <v>35.9854053304769</v>
      </c>
      <c r="BI35" s="874">
        <v>0.4</v>
      </c>
      <c r="BJ35" s="858" t="s">
        <v>1441</v>
      </c>
      <c r="BK35" s="871">
        <v>0.2</v>
      </c>
      <c r="BL35" s="858">
        <v>247.664260215635</v>
      </c>
      <c r="BM35" s="872">
        <v>211.678854885158</v>
      </c>
      <c r="BN35" s="872">
        <v>35.9854053304769</v>
      </c>
      <c r="BO35" s="874">
        <v>0.6</v>
      </c>
      <c r="BP35" s="858" t="s">
        <v>1441</v>
      </c>
      <c r="BQ35" s="871">
        <v>0.1</v>
      </c>
      <c r="BR35" s="858">
        <v>123.832130107818</v>
      </c>
      <c r="BS35" s="872">
        <v>105.839427442579</v>
      </c>
      <c r="BT35" s="872">
        <v>17.9927026652384</v>
      </c>
      <c r="BU35" s="874">
        <v>0.7</v>
      </c>
      <c r="BV35" s="858" t="s">
        <v>1441</v>
      </c>
      <c r="BW35" s="871">
        <v>0</v>
      </c>
      <c r="BX35" s="858">
        <v>0</v>
      </c>
      <c r="BY35" s="872">
        <v>0</v>
      </c>
      <c r="BZ35" s="872">
        <v>0</v>
      </c>
      <c r="CA35" s="874">
        <v>0.7</v>
      </c>
      <c r="CB35" s="858" t="s">
        <v>1441</v>
      </c>
      <c r="CC35" s="871">
        <v>0.1</v>
      </c>
      <c r="CD35" s="858">
        <v>123.832130107818</v>
      </c>
      <c r="CE35" s="872">
        <v>105.839427442579</v>
      </c>
      <c r="CF35" s="872">
        <v>17.9927026652384</v>
      </c>
      <c r="CG35" s="874">
        <v>0.8</v>
      </c>
      <c r="CH35" s="858"/>
      <c r="CI35" s="871">
        <v>0</v>
      </c>
      <c r="CJ35" s="858">
        <v>0</v>
      </c>
      <c r="CK35" s="872">
        <v>0</v>
      </c>
      <c r="CL35" s="872">
        <v>0</v>
      </c>
      <c r="CM35" s="874">
        <v>0.8</v>
      </c>
      <c r="CN35" s="858" t="s">
        <v>1441</v>
      </c>
      <c r="CO35" s="871">
        <v>0</v>
      </c>
      <c r="CP35" s="858">
        <v>0</v>
      </c>
      <c r="CQ35" s="872">
        <v>0</v>
      </c>
      <c r="CR35" s="872">
        <v>0</v>
      </c>
      <c r="CS35" s="874">
        <v>0.8</v>
      </c>
      <c r="CT35" s="858" t="s">
        <v>1441</v>
      </c>
      <c r="CU35" s="871">
        <v>0.2</v>
      </c>
      <c r="CV35" s="858">
        <v>247.664260215635</v>
      </c>
      <c r="CW35" s="872">
        <v>211.678854885158</v>
      </c>
      <c r="CX35" s="872">
        <v>35.9854053304769</v>
      </c>
      <c r="CY35" s="874">
        <v>1</v>
      </c>
      <c r="CZ35" s="858" t="s">
        <v>1441</v>
      </c>
      <c r="DA35" s="871">
        <v>0</v>
      </c>
      <c r="DB35" s="858">
        <v>0</v>
      </c>
      <c r="DC35" s="872">
        <v>0</v>
      </c>
      <c r="DD35" s="872">
        <v>0</v>
      </c>
      <c r="DE35" s="872"/>
      <c r="DF35" s="872"/>
      <c r="DG35" s="872"/>
      <c r="DH35" s="858">
        <v>0</v>
      </c>
      <c r="DI35" s="872">
        <v>0</v>
      </c>
      <c r="DJ35" s="872">
        <v>0</v>
      </c>
      <c r="DK35" s="872"/>
      <c r="DL35" s="872"/>
      <c r="DM35" s="872"/>
      <c r="DN35" s="858">
        <v>0</v>
      </c>
      <c r="DO35" s="872">
        <v>0</v>
      </c>
      <c r="DP35" s="872">
        <v>0</v>
      </c>
      <c r="DQ35" s="872">
        <v>0</v>
      </c>
    </row>
    <row r="36" s="861" customFormat="1" ht="14.25" customHeight="1" spans="1:121">
      <c r="A36" s="852">
        <v>34</v>
      </c>
      <c r="B36" s="853" t="s">
        <v>1354</v>
      </c>
      <c r="C36" s="853" t="s">
        <v>1355</v>
      </c>
      <c r="D36" s="873" t="s">
        <v>1359</v>
      </c>
      <c r="E36" s="869">
        <v>131.664195</v>
      </c>
      <c r="F36" s="870">
        <v>0.17</v>
      </c>
      <c r="G36" s="874">
        <v>0</v>
      </c>
      <c r="H36" s="872"/>
      <c r="I36" s="875">
        <v>0</v>
      </c>
      <c r="J36" s="858">
        <v>0</v>
      </c>
      <c r="K36" s="872">
        <v>0</v>
      </c>
      <c r="L36" s="872">
        <v>0</v>
      </c>
      <c r="M36" s="874">
        <v>0</v>
      </c>
      <c r="N36" s="872"/>
      <c r="O36" s="875">
        <v>0</v>
      </c>
      <c r="P36" s="858">
        <v>0</v>
      </c>
      <c r="Q36" s="872">
        <v>0</v>
      </c>
      <c r="R36" s="872">
        <v>0</v>
      </c>
      <c r="S36" s="874">
        <v>0</v>
      </c>
      <c r="T36" s="872"/>
      <c r="U36" s="875">
        <v>0</v>
      </c>
      <c r="V36" s="858">
        <v>0</v>
      </c>
      <c r="W36" s="872">
        <v>0</v>
      </c>
      <c r="X36" s="872">
        <v>0</v>
      </c>
      <c r="Y36" s="874">
        <v>0</v>
      </c>
      <c r="Z36" s="872"/>
      <c r="AA36" s="875">
        <v>0</v>
      </c>
      <c r="AB36" s="858">
        <v>0</v>
      </c>
      <c r="AC36" s="872">
        <v>0</v>
      </c>
      <c r="AD36" s="872">
        <v>0</v>
      </c>
      <c r="AE36" s="874">
        <v>0</v>
      </c>
      <c r="AF36" s="872"/>
      <c r="AG36" s="875">
        <v>0</v>
      </c>
      <c r="AH36" s="858">
        <v>0</v>
      </c>
      <c r="AI36" s="872">
        <v>0</v>
      </c>
      <c r="AJ36" s="872">
        <v>0</v>
      </c>
      <c r="AK36" s="874">
        <v>0</v>
      </c>
      <c r="AL36" s="858" t="s">
        <v>1441</v>
      </c>
      <c r="AM36" s="874">
        <v>0</v>
      </c>
      <c r="AN36" s="858">
        <v>0</v>
      </c>
      <c r="AO36" s="872">
        <v>0</v>
      </c>
      <c r="AP36" s="872">
        <v>0</v>
      </c>
      <c r="AQ36" s="874">
        <v>0</v>
      </c>
      <c r="AR36" s="872"/>
      <c r="AS36" s="871">
        <v>0</v>
      </c>
      <c r="AT36" s="858">
        <v>0</v>
      </c>
      <c r="AU36" s="872">
        <v>0</v>
      </c>
      <c r="AV36" s="872">
        <v>0</v>
      </c>
      <c r="AW36" s="874">
        <v>0</v>
      </c>
      <c r="AX36" s="872"/>
      <c r="AY36" s="871">
        <v>0</v>
      </c>
      <c r="AZ36" s="858">
        <v>0</v>
      </c>
      <c r="BA36" s="872">
        <v>0</v>
      </c>
      <c r="BB36" s="872">
        <v>0</v>
      </c>
      <c r="BC36" s="874">
        <v>0</v>
      </c>
      <c r="BD36" s="872"/>
      <c r="BE36" s="871">
        <v>0.2</v>
      </c>
      <c r="BF36" s="858">
        <v>26.332839</v>
      </c>
      <c r="BG36" s="872">
        <v>22.5067</v>
      </c>
      <c r="BH36" s="872">
        <v>3.826139</v>
      </c>
      <c r="BI36" s="874">
        <v>0.2</v>
      </c>
      <c r="BJ36" s="872"/>
      <c r="BK36" s="871">
        <v>0.3</v>
      </c>
      <c r="BL36" s="858">
        <v>39.4992585</v>
      </c>
      <c r="BM36" s="872">
        <v>33.76005</v>
      </c>
      <c r="BN36" s="872">
        <v>5.7392085</v>
      </c>
      <c r="BO36" s="874">
        <v>0.5</v>
      </c>
      <c r="BP36" s="872"/>
      <c r="BQ36" s="871">
        <v>0.2</v>
      </c>
      <c r="BR36" s="858">
        <v>26.332839</v>
      </c>
      <c r="BS36" s="872">
        <v>22.5067</v>
      </c>
      <c r="BT36" s="872">
        <v>3.826139</v>
      </c>
      <c r="BU36" s="874">
        <v>0.7</v>
      </c>
      <c r="BV36" s="872"/>
      <c r="BW36" s="871">
        <v>0</v>
      </c>
      <c r="BX36" s="858">
        <v>0</v>
      </c>
      <c r="BY36" s="872">
        <v>0</v>
      </c>
      <c r="BZ36" s="872">
        <v>0</v>
      </c>
      <c r="CA36" s="874">
        <v>0.7</v>
      </c>
      <c r="CB36" s="858" t="s">
        <v>1441</v>
      </c>
      <c r="CC36" s="871">
        <v>0.1</v>
      </c>
      <c r="CD36" s="858">
        <v>13.1664195</v>
      </c>
      <c r="CE36" s="872">
        <v>11.25335</v>
      </c>
      <c r="CF36" s="872">
        <v>1.9130695</v>
      </c>
      <c r="CG36" s="874">
        <v>0.8</v>
      </c>
      <c r="CH36" s="858"/>
      <c r="CI36" s="871">
        <v>0</v>
      </c>
      <c r="CJ36" s="858">
        <v>0</v>
      </c>
      <c r="CK36" s="872">
        <v>0</v>
      </c>
      <c r="CL36" s="872">
        <v>0</v>
      </c>
      <c r="CM36" s="874">
        <v>0.8</v>
      </c>
      <c r="CN36" s="858" t="s">
        <v>1441</v>
      </c>
      <c r="CO36" s="871">
        <v>0</v>
      </c>
      <c r="CP36" s="858">
        <v>0</v>
      </c>
      <c r="CQ36" s="872">
        <v>0</v>
      </c>
      <c r="CR36" s="872">
        <v>0</v>
      </c>
      <c r="CS36" s="874">
        <v>0.8</v>
      </c>
      <c r="CT36" s="858" t="s">
        <v>1441</v>
      </c>
      <c r="CU36" s="871">
        <v>0.2</v>
      </c>
      <c r="CV36" s="858">
        <v>26.332839</v>
      </c>
      <c r="CW36" s="872">
        <v>22.5067</v>
      </c>
      <c r="CX36" s="872">
        <v>3.826139</v>
      </c>
      <c r="CY36" s="872"/>
      <c r="CZ36" s="872"/>
      <c r="DA36" s="872"/>
      <c r="DB36" s="858">
        <v>0</v>
      </c>
      <c r="DC36" s="872">
        <v>0</v>
      </c>
      <c r="DD36" s="872">
        <v>0</v>
      </c>
      <c r="DE36" s="872"/>
      <c r="DF36" s="872"/>
      <c r="DG36" s="872"/>
      <c r="DH36" s="858">
        <v>0</v>
      </c>
      <c r="DI36" s="872">
        <v>0</v>
      </c>
      <c r="DJ36" s="872">
        <v>0</v>
      </c>
      <c r="DK36" s="872"/>
      <c r="DL36" s="872"/>
      <c r="DM36" s="872"/>
      <c r="DN36" s="858">
        <v>0</v>
      </c>
      <c r="DO36" s="872">
        <v>0</v>
      </c>
      <c r="DP36" s="872">
        <v>0</v>
      </c>
      <c r="DQ36" s="872">
        <v>0</v>
      </c>
    </row>
    <row r="37" s="861" customFormat="1" ht="14.25" customHeight="1" spans="1:121">
      <c r="A37" s="852">
        <v>35</v>
      </c>
      <c r="B37" s="853" t="s">
        <v>1354</v>
      </c>
      <c r="C37" s="858" t="s">
        <v>1346</v>
      </c>
      <c r="D37" s="873" t="s">
        <v>1360</v>
      </c>
      <c r="E37" s="869">
        <v>938.96</v>
      </c>
      <c r="F37" s="870">
        <v>0.17</v>
      </c>
      <c r="G37" s="874">
        <v>0</v>
      </c>
      <c r="H37" s="872"/>
      <c r="I37" s="875">
        <v>0</v>
      </c>
      <c r="J37" s="858">
        <v>0</v>
      </c>
      <c r="K37" s="872">
        <v>0</v>
      </c>
      <c r="L37" s="872">
        <v>0</v>
      </c>
      <c r="M37" s="874">
        <v>0</v>
      </c>
      <c r="N37" s="872"/>
      <c r="O37" s="875">
        <v>0</v>
      </c>
      <c r="P37" s="858">
        <v>0</v>
      </c>
      <c r="Q37" s="872">
        <v>0</v>
      </c>
      <c r="R37" s="872">
        <v>0</v>
      </c>
      <c r="S37" s="874">
        <v>0</v>
      </c>
      <c r="T37" s="872"/>
      <c r="U37" s="875">
        <v>0</v>
      </c>
      <c r="V37" s="858">
        <v>0</v>
      </c>
      <c r="W37" s="872">
        <v>0</v>
      </c>
      <c r="X37" s="872">
        <v>0</v>
      </c>
      <c r="Y37" s="874">
        <v>0</v>
      </c>
      <c r="Z37" s="872"/>
      <c r="AA37" s="875">
        <v>0</v>
      </c>
      <c r="AB37" s="858">
        <v>0</v>
      </c>
      <c r="AC37" s="872">
        <v>0</v>
      </c>
      <c r="AD37" s="872">
        <v>0</v>
      </c>
      <c r="AE37" s="874">
        <v>0</v>
      </c>
      <c r="AF37" s="858" t="s">
        <v>1440</v>
      </c>
      <c r="AG37" s="874">
        <v>0.1</v>
      </c>
      <c r="AH37" s="858">
        <v>93.896</v>
      </c>
      <c r="AI37" s="872">
        <v>80.2529914529915</v>
      </c>
      <c r="AJ37" s="872">
        <v>13.6430085470085</v>
      </c>
      <c r="AK37" s="874">
        <v>0.1</v>
      </c>
      <c r="AL37" s="858" t="s">
        <v>1441</v>
      </c>
      <c r="AM37" s="874">
        <v>0.45</v>
      </c>
      <c r="AN37" s="858">
        <v>422.532</v>
      </c>
      <c r="AO37" s="872">
        <v>361.138461538462</v>
      </c>
      <c r="AP37" s="872">
        <v>61.3935384615385</v>
      </c>
      <c r="AQ37" s="874">
        <v>0.55</v>
      </c>
      <c r="AR37" s="858"/>
      <c r="AS37" s="874">
        <v>0</v>
      </c>
      <c r="AT37" s="858">
        <v>0</v>
      </c>
      <c r="AU37" s="872">
        <v>0</v>
      </c>
      <c r="AV37" s="872">
        <v>0</v>
      </c>
      <c r="AW37" s="874">
        <v>0.55</v>
      </c>
      <c r="AX37" s="858" t="s">
        <v>1441</v>
      </c>
      <c r="AY37" s="874">
        <v>0</v>
      </c>
      <c r="AZ37" s="858">
        <v>0</v>
      </c>
      <c r="BA37" s="872">
        <v>0</v>
      </c>
      <c r="BB37" s="872">
        <v>0</v>
      </c>
      <c r="BC37" s="874">
        <v>0.55</v>
      </c>
      <c r="BD37" s="858" t="s">
        <v>1441</v>
      </c>
      <c r="BE37" s="874">
        <v>0</v>
      </c>
      <c r="BF37" s="858">
        <v>0</v>
      </c>
      <c r="BG37" s="872">
        <v>0</v>
      </c>
      <c r="BH37" s="872">
        <v>0</v>
      </c>
      <c r="BI37" s="874">
        <v>0.55</v>
      </c>
      <c r="BJ37" s="858" t="s">
        <v>1441</v>
      </c>
      <c r="BK37" s="874">
        <v>0.35</v>
      </c>
      <c r="BL37" s="858">
        <v>328.636</v>
      </c>
      <c r="BM37" s="872">
        <v>280.88547008547</v>
      </c>
      <c r="BN37" s="872">
        <v>47.7505299145299</v>
      </c>
      <c r="BO37" s="874">
        <v>0.9</v>
      </c>
      <c r="BP37" s="858" t="s">
        <v>1441</v>
      </c>
      <c r="BQ37" s="874">
        <v>0</v>
      </c>
      <c r="BR37" s="858">
        <v>0</v>
      </c>
      <c r="BS37" s="872">
        <v>0</v>
      </c>
      <c r="BT37" s="872">
        <v>0</v>
      </c>
      <c r="BU37" s="874">
        <v>0.9</v>
      </c>
      <c r="BV37" s="858" t="s">
        <v>1441</v>
      </c>
      <c r="BW37" s="874">
        <v>0</v>
      </c>
      <c r="BX37" s="858">
        <v>0</v>
      </c>
      <c r="BY37" s="872">
        <v>0</v>
      </c>
      <c r="BZ37" s="872">
        <v>0</v>
      </c>
      <c r="CA37" s="874">
        <v>0.9</v>
      </c>
      <c r="CB37" s="858" t="s">
        <v>1441</v>
      </c>
      <c r="CC37" s="874">
        <v>0</v>
      </c>
      <c r="CD37" s="858">
        <v>0</v>
      </c>
      <c r="CE37" s="872">
        <v>0</v>
      </c>
      <c r="CF37" s="872">
        <v>0</v>
      </c>
      <c r="CG37" s="874">
        <v>0.9</v>
      </c>
      <c r="CH37" s="858"/>
      <c r="CI37" s="874">
        <v>0</v>
      </c>
      <c r="CJ37" s="858">
        <v>0</v>
      </c>
      <c r="CK37" s="872">
        <v>0</v>
      </c>
      <c r="CL37" s="872">
        <v>0</v>
      </c>
      <c r="CM37" s="874">
        <v>0.9</v>
      </c>
      <c r="CN37" s="858" t="s">
        <v>1441</v>
      </c>
      <c r="CO37" s="874">
        <v>0</v>
      </c>
      <c r="CP37" s="858">
        <v>0</v>
      </c>
      <c r="CQ37" s="872">
        <v>0</v>
      </c>
      <c r="CR37" s="872">
        <v>0</v>
      </c>
      <c r="CS37" s="874">
        <v>0.9</v>
      </c>
      <c r="CT37" s="858" t="s">
        <v>1441</v>
      </c>
      <c r="CU37" s="874">
        <v>0</v>
      </c>
      <c r="CV37" s="858">
        <v>0</v>
      </c>
      <c r="CW37" s="872">
        <v>0</v>
      </c>
      <c r="CX37" s="872">
        <v>0</v>
      </c>
      <c r="CY37" s="874">
        <v>0.9</v>
      </c>
      <c r="CZ37" s="858" t="s">
        <v>1442</v>
      </c>
      <c r="DA37" s="874">
        <v>0.1</v>
      </c>
      <c r="DB37" s="858">
        <v>93.896</v>
      </c>
      <c r="DC37" s="872">
        <v>80.2529914529915</v>
      </c>
      <c r="DD37" s="872">
        <v>13.6430085470085</v>
      </c>
      <c r="DE37" s="874">
        <v>1</v>
      </c>
      <c r="DF37" s="858"/>
      <c r="DG37" s="874">
        <v>0</v>
      </c>
      <c r="DH37" s="858">
        <v>0</v>
      </c>
      <c r="DI37" s="872">
        <v>0</v>
      </c>
      <c r="DJ37" s="872">
        <v>0</v>
      </c>
      <c r="DK37" s="872"/>
      <c r="DL37" s="872"/>
      <c r="DM37" s="872"/>
      <c r="DN37" s="858">
        <v>0</v>
      </c>
      <c r="DO37" s="872">
        <v>0</v>
      </c>
      <c r="DP37" s="872">
        <v>0</v>
      </c>
      <c r="DQ37" s="872">
        <v>0</v>
      </c>
    </row>
    <row r="38" s="861" customFormat="1" ht="14.25" customHeight="1" spans="1:121">
      <c r="A38" s="852">
        <v>36</v>
      </c>
      <c r="B38" s="853" t="s">
        <v>1345</v>
      </c>
      <c r="C38" s="858" t="s">
        <v>1346</v>
      </c>
      <c r="D38" s="873" t="s">
        <v>1361</v>
      </c>
      <c r="E38" s="869">
        <v>134.6</v>
      </c>
      <c r="F38" s="870">
        <v>0.11</v>
      </c>
      <c r="G38" s="874">
        <v>0</v>
      </c>
      <c r="H38" s="872"/>
      <c r="I38" s="875">
        <v>0</v>
      </c>
      <c r="J38" s="858">
        <v>0</v>
      </c>
      <c r="K38" s="872">
        <v>0</v>
      </c>
      <c r="L38" s="872">
        <v>0</v>
      </c>
      <c r="M38" s="874">
        <v>0</v>
      </c>
      <c r="N38" s="872"/>
      <c r="O38" s="875">
        <v>0</v>
      </c>
      <c r="P38" s="858">
        <v>0</v>
      </c>
      <c r="Q38" s="872">
        <v>0</v>
      </c>
      <c r="R38" s="872">
        <v>0</v>
      </c>
      <c r="S38" s="874">
        <v>0</v>
      </c>
      <c r="T38" s="872"/>
      <c r="U38" s="875">
        <v>0</v>
      </c>
      <c r="V38" s="858">
        <v>0</v>
      </c>
      <c r="W38" s="872">
        <v>0</v>
      </c>
      <c r="X38" s="872">
        <v>0</v>
      </c>
      <c r="Y38" s="874">
        <v>0</v>
      </c>
      <c r="Z38" s="872"/>
      <c r="AA38" s="875">
        <v>0</v>
      </c>
      <c r="AB38" s="858">
        <v>0</v>
      </c>
      <c r="AC38" s="872">
        <v>0</v>
      </c>
      <c r="AD38" s="872">
        <v>0</v>
      </c>
      <c r="AE38" s="874">
        <v>0</v>
      </c>
      <c r="AF38" s="872"/>
      <c r="AG38" s="875">
        <v>0</v>
      </c>
      <c r="AH38" s="858">
        <v>0</v>
      </c>
      <c r="AI38" s="872">
        <v>0</v>
      </c>
      <c r="AJ38" s="872">
        <v>0</v>
      </c>
      <c r="AK38" s="874">
        <v>0</v>
      </c>
      <c r="AL38" s="858" t="s">
        <v>1440</v>
      </c>
      <c r="AM38" s="874">
        <v>0.5</v>
      </c>
      <c r="AN38" s="858">
        <v>67.3</v>
      </c>
      <c r="AO38" s="872">
        <v>60.6306306306306</v>
      </c>
      <c r="AP38" s="872">
        <v>6.66936936936938</v>
      </c>
      <c r="AQ38" s="874">
        <v>0.5</v>
      </c>
      <c r="AR38" s="858"/>
      <c r="AS38" s="874">
        <v>0</v>
      </c>
      <c r="AT38" s="858">
        <v>0</v>
      </c>
      <c r="AU38" s="872">
        <v>0</v>
      </c>
      <c r="AV38" s="872">
        <v>0</v>
      </c>
      <c r="AW38" s="874">
        <v>0.5</v>
      </c>
      <c r="AX38" s="858"/>
      <c r="AY38" s="874">
        <v>0</v>
      </c>
      <c r="AZ38" s="858">
        <v>0</v>
      </c>
      <c r="BA38" s="872">
        <v>0</v>
      </c>
      <c r="BB38" s="872">
        <v>0</v>
      </c>
      <c r="BC38" s="874">
        <v>0.5</v>
      </c>
      <c r="BD38" s="858"/>
      <c r="BE38" s="874">
        <v>0</v>
      </c>
      <c r="BF38" s="858">
        <v>0</v>
      </c>
      <c r="BG38" s="872">
        <v>0</v>
      </c>
      <c r="BH38" s="872">
        <v>0</v>
      </c>
      <c r="BI38" s="874">
        <v>0.5</v>
      </c>
      <c r="BJ38" s="858" t="s">
        <v>1441</v>
      </c>
      <c r="BK38" s="874">
        <v>0.4</v>
      </c>
      <c r="BL38" s="858">
        <v>53.84</v>
      </c>
      <c r="BM38" s="872">
        <v>48.5045045045045</v>
      </c>
      <c r="BN38" s="872">
        <v>5.3354954954955</v>
      </c>
      <c r="BO38" s="874">
        <v>0.9</v>
      </c>
      <c r="BP38" s="858"/>
      <c r="BQ38" s="874">
        <v>0</v>
      </c>
      <c r="BR38" s="858">
        <v>0</v>
      </c>
      <c r="BS38" s="872">
        <v>0</v>
      </c>
      <c r="BT38" s="872">
        <v>0</v>
      </c>
      <c r="BU38" s="874">
        <v>0.9</v>
      </c>
      <c r="BV38" s="858"/>
      <c r="BW38" s="874">
        <v>0</v>
      </c>
      <c r="BX38" s="858">
        <v>0</v>
      </c>
      <c r="BY38" s="872">
        <v>0</v>
      </c>
      <c r="BZ38" s="872">
        <v>0</v>
      </c>
      <c r="CA38" s="874">
        <v>0.9</v>
      </c>
      <c r="CB38" s="858"/>
      <c r="CC38" s="874">
        <v>0</v>
      </c>
      <c r="CD38" s="858">
        <v>0</v>
      </c>
      <c r="CE38" s="872">
        <v>0</v>
      </c>
      <c r="CF38" s="872">
        <v>0</v>
      </c>
      <c r="CG38" s="874">
        <v>0.9</v>
      </c>
      <c r="CH38" s="858"/>
      <c r="CI38" s="874">
        <v>0</v>
      </c>
      <c r="CJ38" s="858">
        <v>0</v>
      </c>
      <c r="CK38" s="872">
        <v>0</v>
      </c>
      <c r="CL38" s="872">
        <v>0</v>
      </c>
      <c r="CM38" s="874">
        <v>0.9</v>
      </c>
      <c r="CN38" s="858"/>
      <c r="CO38" s="874">
        <v>0</v>
      </c>
      <c r="CP38" s="858">
        <v>0</v>
      </c>
      <c r="CQ38" s="872">
        <v>0</v>
      </c>
      <c r="CR38" s="872">
        <v>0</v>
      </c>
      <c r="CS38" s="874">
        <v>0.9</v>
      </c>
      <c r="CT38" s="858"/>
      <c r="CU38" s="874">
        <v>0</v>
      </c>
      <c r="CV38" s="858">
        <v>0</v>
      </c>
      <c r="CW38" s="872">
        <v>0</v>
      </c>
      <c r="CX38" s="872">
        <v>0</v>
      </c>
      <c r="CY38" s="874">
        <v>0.9</v>
      </c>
      <c r="CZ38" s="858" t="s">
        <v>1442</v>
      </c>
      <c r="DA38" s="874">
        <v>0.1</v>
      </c>
      <c r="DB38" s="858">
        <v>13.46</v>
      </c>
      <c r="DC38" s="872">
        <v>12.1261261261261</v>
      </c>
      <c r="DD38" s="872">
        <v>1.33387387387388</v>
      </c>
      <c r="DE38" s="874">
        <v>1</v>
      </c>
      <c r="DF38" s="858"/>
      <c r="DG38" s="874">
        <v>0</v>
      </c>
      <c r="DH38" s="858">
        <v>0</v>
      </c>
      <c r="DI38" s="872">
        <v>0</v>
      </c>
      <c r="DJ38" s="872">
        <v>0</v>
      </c>
      <c r="DK38" s="872"/>
      <c r="DL38" s="872"/>
      <c r="DM38" s="872"/>
      <c r="DN38" s="858">
        <v>0</v>
      </c>
      <c r="DO38" s="872">
        <v>0</v>
      </c>
      <c r="DP38" s="872">
        <v>0</v>
      </c>
      <c r="DQ38" s="872">
        <v>0</v>
      </c>
    </row>
    <row r="39" s="861" customFormat="1" ht="14.25" customHeight="1" spans="1:121">
      <c r="A39" s="852">
        <v>37</v>
      </c>
      <c r="B39" s="853" t="s">
        <v>1345</v>
      </c>
      <c r="C39" s="858" t="s">
        <v>1346</v>
      </c>
      <c r="D39" s="873" t="s">
        <v>931</v>
      </c>
      <c r="E39" s="869">
        <v>1962.78097789166</v>
      </c>
      <c r="F39" s="870">
        <v>0.11</v>
      </c>
      <c r="G39" s="874">
        <v>0</v>
      </c>
      <c r="H39" s="872"/>
      <c r="I39" s="875">
        <v>0</v>
      </c>
      <c r="J39" s="858">
        <v>0</v>
      </c>
      <c r="K39" s="872">
        <v>0</v>
      </c>
      <c r="L39" s="872">
        <v>0</v>
      </c>
      <c r="M39" s="874">
        <v>0</v>
      </c>
      <c r="N39" s="872"/>
      <c r="O39" s="875">
        <v>0</v>
      </c>
      <c r="P39" s="858">
        <v>0</v>
      </c>
      <c r="Q39" s="872">
        <v>0</v>
      </c>
      <c r="R39" s="872">
        <v>0</v>
      </c>
      <c r="S39" s="874">
        <v>0</v>
      </c>
      <c r="T39" s="872"/>
      <c r="U39" s="875">
        <v>0</v>
      </c>
      <c r="V39" s="858">
        <v>0</v>
      </c>
      <c r="W39" s="872">
        <v>0</v>
      </c>
      <c r="X39" s="872">
        <v>0</v>
      </c>
      <c r="Y39" s="874">
        <v>0</v>
      </c>
      <c r="Z39" s="872"/>
      <c r="AA39" s="875">
        <v>0</v>
      </c>
      <c r="AB39" s="858">
        <v>0</v>
      </c>
      <c r="AC39" s="872">
        <v>0</v>
      </c>
      <c r="AD39" s="872">
        <v>0</v>
      </c>
      <c r="AE39" s="874">
        <v>0</v>
      </c>
      <c r="AF39" s="872"/>
      <c r="AG39" s="875">
        <v>0</v>
      </c>
      <c r="AH39" s="858">
        <v>0</v>
      </c>
      <c r="AI39" s="872">
        <v>0</v>
      </c>
      <c r="AJ39" s="872">
        <v>0</v>
      </c>
      <c r="AK39" s="874">
        <v>0</v>
      </c>
      <c r="AL39" s="858"/>
      <c r="AM39" s="874">
        <v>0.1</v>
      </c>
      <c r="AN39" s="858">
        <v>196.278097789167</v>
      </c>
      <c r="AO39" s="872">
        <v>176.827115125375</v>
      </c>
      <c r="AP39" s="872">
        <v>19.4509826637913</v>
      </c>
      <c r="AQ39" s="874">
        <v>0.1</v>
      </c>
      <c r="AR39" s="858"/>
      <c r="AS39" s="874">
        <v>0</v>
      </c>
      <c r="AT39" s="858">
        <v>0</v>
      </c>
      <c r="AU39" s="872">
        <v>0</v>
      </c>
      <c r="AV39" s="872">
        <v>0</v>
      </c>
      <c r="AW39" s="874">
        <v>0.1</v>
      </c>
      <c r="AX39" s="858"/>
      <c r="AY39" s="874">
        <v>0</v>
      </c>
      <c r="AZ39" s="858">
        <v>0</v>
      </c>
      <c r="BA39" s="872">
        <v>0</v>
      </c>
      <c r="BB39" s="872">
        <v>0</v>
      </c>
      <c r="BC39" s="874">
        <v>0.1</v>
      </c>
      <c r="BD39" s="858" t="s">
        <v>1441</v>
      </c>
      <c r="BE39" s="874">
        <v>0.25</v>
      </c>
      <c r="BF39" s="858">
        <v>490.695244472916</v>
      </c>
      <c r="BG39" s="872">
        <v>442.067787813438</v>
      </c>
      <c r="BH39" s="872">
        <v>48.6274566594782</v>
      </c>
      <c r="BI39" s="874">
        <v>0.35</v>
      </c>
      <c r="BJ39" s="858" t="s">
        <v>1441</v>
      </c>
      <c r="BK39" s="874">
        <v>0.4</v>
      </c>
      <c r="BL39" s="858">
        <v>785.112391156666</v>
      </c>
      <c r="BM39" s="872">
        <v>707.308460501501</v>
      </c>
      <c r="BN39" s="872">
        <v>77.8039306551651</v>
      </c>
      <c r="BO39" s="874">
        <v>0.75</v>
      </c>
      <c r="BP39" s="858" t="s">
        <v>1441</v>
      </c>
      <c r="BQ39" s="874">
        <v>0</v>
      </c>
      <c r="BR39" s="858">
        <v>0</v>
      </c>
      <c r="BS39" s="872">
        <v>0</v>
      </c>
      <c r="BT39" s="872">
        <v>0</v>
      </c>
      <c r="BU39" s="874">
        <v>0.75</v>
      </c>
      <c r="BV39" s="858" t="s">
        <v>1441</v>
      </c>
      <c r="BW39" s="874">
        <v>0</v>
      </c>
      <c r="BX39" s="858">
        <v>0</v>
      </c>
      <c r="BY39" s="872">
        <v>0</v>
      </c>
      <c r="BZ39" s="872">
        <v>0</v>
      </c>
      <c r="CA39" s="874">
        <v>0.75</v>
      </c>
      <c r="CB39" s="858" t="s">
        <v>1441</v>
      </c>
      <c r="CC39" s="874">
        <v>0.05</v>
      </c>
      <c r="CD39" s="858">
        <v>98.1390488945833</v>
      </c>
      <c r="CE39" s="872">
        <v>88.4135575626876</v>
      </c>
      <c r="CF39" s="872">
        <v>9.72549133189564</v>
      </c>
      <c r="CG39" s="874">
        <v>0.8</v>
      </c>
      <c r="CH39" s="858"/>
      <c r="CI39" s="874">
        <v>0</v>
      </c>
      <c r="CJ39" s="858">
        <v>0</v>
      </c>
      <c r="CK39" s="872">
        <v>0</v>
      </c>
      <c r="CL39" s="872">
        <v>0</v>
      </c>
      <c r="CM39" s="874">
        <v>0.8</v>
      </c>
      <c r="CN39" s="858" t="s">
        <v>1441</v>
      </c>
      <c r="CO39" s="874">
        <v>0</v>
      </c>
      <c r="CP39" s="858">
        <v>0</v>
      </c>
      <c r="CQ39" s="872">
        <v>0</v>
      </c>
      <c r="CR39" s="872">
        <v>0</v>
      </c>
      <c r="CS39" s="874">
        <v>0.8</v>
      </c>
      <c r="CT39" s="858" t="s">
        <v>1441</v>
      </c>
      <c r="CU39" s="874">
        <v>0</v>
      </c>
      <c r="CV39" s="858">
        <v>0</v>
      </c>
      <c r="CW39" s="872">
        <v>0</v>
      </c>
      <c r="CX39" s="872">
        <v>0</v>
      </c>
      <c r="CY39" s="874">
        <v>0.8</v>
      </c>
      <c r="CZ39" s="858" t="s">
        <v>1441</v>
      </c>
      <c r="DA39" s="874">
        <v>0.05</v>
      </c>
      <c r="DB39" s="858">
        <v>98.1390488945833</v>
      </c>
      <c r="DC39" s="872">
        <v>88.4135575626876</v>
      </c>
      <c r="DD39" s="872">
        <v>9.72549133189564</v>
      </c>
      <c r="DE39" s="874">
        <v>0.85</v>
      </c>
      <c r="DF39" s="858" t="s">
        <v>1442</v>
      </c>
      <c r="DG39" s="874">
        <v>0.1</v>
      </c>
      <c r="DH39" s="858">
        <v>196.278097789167</v>
      </c>
      <c r="DI39" s="872">
        <v>176.827115125375</v>
      </c>
      <c r="DJ39" s="872">
        <v>19.4509826637913</v>
      </c>
      <c r="DK39" s="874">
        <v>0.95</v>
      </c>
      <c r="DL39" s="858" t="s">
        <v>1443</v>
      </c>
      <c r="DM39" s="874">
        <v>0.05</v>
      </c>
      <c r="DN39" s="858">
        <v>98.1390488945833</v>
      </c>
      <c r="DO39" s="872">
        <v>88.4135575626876</v>
      </c>
      <c r="DP39" s="872">
        <v>9.72549133189564</v>
      </c>
      <c r="DQ39" s="872">
        <v>0</v>
      </c>
    </row>
    <row r="40" s="861" customFormat="1" ht="14.25" customHeight="1" spans="1:121">
      <c r="A40" s="852">
        <v>38</v>
      </c>
      <c r="B40" s="853" t="s">
        <v>1345</v>
      </c>
      <c r="C40" s="858" t="s">
        <v>1346</v>
      </c>
      <c r="D40" s="873" t="s">
        <v>934</v>
      </c>
      <c r="E40" s="869">
        <v>0</v>
      </c>
      <c r="F40" s="870">
        <v>0.11</v>
      </c>
      <c r="G40" s="874">
        <v>0</v>
      </c>
      <c r="H40" s="872"/>
      <c r="I40" s="875">
        <v>0</v>
      </c>
      <c r="J40" s="858">
        <v>0</v>
      </c>
      <c r="K40" s="872">
        <v>0</v>
      </c>
      <c r="L40" s="872">
        <v>0</v>
      </c>
      <c r="M40" s="874">
        <v>0</v>
      </c>
      <c r="N40" s="872"/>
      <c r="O40" s="875">
        <v>0</v>
      </c>
      <c r="P40" s="858">
        <v>0</v>
      </c>
      <c r="Q40" s="872">
        <v>0</v>
      </c>
      <c r="R40" s="872">
        <v>0</v>
      </c>
      <c r="S40" s="874">
        <v>0</v>
      </c>
      <c r="T40" s="858" t="s">
        <v>1441</v>
      </c>
      <c r="U40" s="875">
        <v>0.8</v>
      </c>
      <c r="V40" s="858">
        <v>0</v>
      </c>
      <c r="W40" s="872">
        <v>0</v>
      </c>
      <c r="X40" s="872">
        <v>0</v>
      </c>
      <c r="Y40" s="874">
        <v>0.8</v>
      </c>
      <c r="Z40" s="872"/>
      <c r="AA40" s="875">
        <v>0</v>
      </c>
      <c r="AB40" s="858">
        <v>0</v>
      </c>
      <c r="AC40" s="872">
        <v>0</v>
      </c>
      <c r="AD40" s="872">
        <v>0</v>
      </c>
      <c r="AE40" s="874">
        <v>0.8</v>
      </c>
      <c r="AF40" s="872"/>
      <c r="AG40" s="875">
        <v>0</v>
      </c>
      <c r="AH40" s="858">
        <v>0</v>
      </c>
      <c r="AI40" s="872">
        <v>0</v>
      </c>
      <c r="AJ40" s="872">
        <v>0</v>
      </c>
      <c r="AK40" s="874">
        <v>0.8</v>
      </c>
      <c r="AL40" s="872"/>
      <c r="AM40" s="875">
        <v>0</v>
      </c>
      <c r="AN40" s="858">
        <v>0</v>
      </c>
      <c r="AO40" s="872">
        <v>0</v>
      </c>
      <c r="AP40" s="872">
        <v>0</v>
      </c>
      <c r="AQ40" s="874">
        <v>0.8</v>
      </c>
      <c r="AR40" s="872"/>
      <c r="AS40" s="875">
        <v>0</v>
      </c>
      <c r="AT40" s="858">
        <v>0</v>
      </c>
      <c r="AU40" s="872">
        <v>0</v>
      </c>
      <c r="AV40" s="872">
        <v>0</v>
      </c>
      <c r="AW40" s="874">
        <v>0.8</v>
      </c>
      <c r="AX40" s="872"/>
      <c r="AY40" s="875">
        <v>0</v>
      </c>
      <c r="AZ40" s="858">
        <v>0</v>
      </c>
      <c r="BA40" s="872">
        <v>0</v>
      </c>
      <c r="BB40" s="872">
        <v>0</v>
      </c>
      <c r="BC40" s="874">
        <v>0.8</v>
      </c>
      <c r="BD40" s="872"/>
      <c r="BE40" s="875">
        <v>0</v>
      </c>
      <c r="BF40" s="858">
        <v>0</v>
      </c>
      <c r="BG40" s="872">
        <v>0</v>
      </c>
      <c r="BH40" s="872">
        <v>0</v>
      </c>
      <c r="BI40" s="874">
        <v>0.8</v>
      </c>
      <c r="BJ40" s="872"/>
      <c r="BK40" s="875">
        <v>0</v>
      </c>
      <c r="BL40" s="858">
        <v>0</v>
      </c>
      <c r="BM40" s="872">
        <v>0</v>
      </c>
      <c r="BN40" s="872">
        <v>0</v>
      </c>
      <c r="BO40" s="874">
        <v>0.8</v>
      </c>
      <c r="BP40" s="872"/>
      <c r="BQ40" s="875">
        <v>0</v>
      </c>
      <c r="BR40" s="858">
        <v>0</v>
      </c>
      <c r="BS40" s="872">
        <v>0</v>
      </c>
      <c r="BT40" s="872">
        <v>0</v>
      </c>
      <c r="BU40" s="874">
        <v>0.8</v>
      </c>
      <c r="BV40" s="872"/>
      <c r="BW40" s="875">
        <v>0</v>
      </c>
      <c r="BX40" s="858">
        <v>0</v>
      </c>
      <c r="BY40" s="872">
        <v>0</v>
      </c>
      <c r="BZ40" s="872">
        <v>0</v>
      </c>
      <c r="CA40" s="874">
        <v>0.8</v>
      </c>
      <c r="CB40" s="872"/>
      <c r="CC40" s="875">
        <v>0</v>
      </c>
      <c r="CD40" s="858">
        <v>0</v>
      </c>
      <c r="CE40" s="872">
        <v>0</v>
      </c>
      <c r="CF40" s="872">
        <v>0</v>
      </c>
      <c r="CG40" s="874">
        <v>0.8</v>
      </c>
      <c r="CH40" s="872"/>
      <c r="CI40" s="874">
        <v>0</v>
      </c>
      <c r="CJ40" s="858">
        <v>0</v>
      </c>
      <c r="CK40" s="872">
        <v>0</v>
      </c>
      <c r="CL40" s="872">
        <v>0</v>
      </c>
      <c r="CM40" s="874">
        <v>0.8</v>
      </c>
      <c r="CN40" s="872"/>
      <c r="CO40" s="875">
        <v>0</v>
      </c>
      <c r="CP40" s="858">
        <v>0</v>
      </c>
      <c r="CQ40" s="872">
        <v>0</v>
      </c>
      <c r="CR40" s="872">
        <v>0</v>
      </c>
      <c r="CS40" s="874">
        <v>0.8</v>
      </c>
      <c r="CT40" s="872"/>
      <c r="CU40" s="875">
        <v>0</v>
      </c>
      <c r="CV40" s="858">
        <v>0</v>
      </c>
      <c r="CW40" s="872">
        <v>0</v>
      </c>
      <c r="CX40" s="872">
        <v>0</v>
      </c>
      <c r="CY40" s="874">
        <v>0.8</v>
      </c>
      <c r="CZ40" s="872"/>
      <c r="DA40" s="875">
        <v>0</v>
      </c>
      <c r="DB40" s="858">
        <v>0</v>
      </c>
      <c r="DC40" s="872">
        <v>0</v>
      </c>
      <c r="DD40" s="872">
        <v>0</v>
      </c>
      <c r="DE40" s="874">
        <v>0.8</v>
      </c>
      <c r="DF40" s="858" t="s">
        <v>1442</v>
      </c>
      <c r="DG40" s="875">
        <v>0.15</v>
      </c>
      <c r="DH40" s="858">
        <v>0</v>
      </c>
      <c r="DI40" s="872">
        <v>0</v>
      </c>
      <c r="DJ40" s="872">
        <v>0</v>
      </c>
      <c r="DK40" s="874">
        <v>0.95</v>
      </c>
      <c r="DL40" s="858" t="s">
        <v>1443</v>
      </c>
      <c r="DM40" s="875">
        <v>0.05</v>
      </c>
      <c r="DN40" s="858">
        <v>0</v>
      </c>
      <c r="DO40" s="872">
        <v>0</v>
      </c>
      <c r="DP40" s="872">
        <v>0</v>
      </c>
      <c r="DQ40" s="872">
        <v>0</v>
      </c>
    </row>
    <row r="41" s="861" customFormat="1" ht="14.25" customHeight="1" spans="1:121">
      <c r="A41" s="852">
        <v>39</v>
      </c>
      <c r="B41" s="853" t="s">
        <v>1345</v>
      </c>
      <c r="C41" s="853" t="s">
        <v>1362</v>
      </c>
      <c r="D41" s="873" t="s">
        <v>1363</v>
      </c>
      <c r="E41" s="869">
        <v>16498.8484</v>
      </c>
      <c r="F41" s="870">
        <v>0.11</v>
      </c>
      <c r="G41" s="874">
        <v>0</v>
      </c>
      <c r="H41" s="872"/>
      <c r="I41" s="875">
        <v>0</v>
      </c>
      <c r="J41" s="858">
        <v>0</v>
      </c>
      <c r="K41" s="872">
        <v>0</v>
      </c>
      <c r="L41" s="872">
        <v>0</v>
      </c>
      <c r="M41" s="874">
        <v>0</v>
      </c>
      <c r="N41" s="872"/>
      <c r="O41" s="875">
        <v>0</v>
      </c>
      <c r="P41" s="858">
        <v>0</v>
      </c>
      <c r="Q41" s="872">
        <v>0</v>
      </c>
      <c r="R41" s="872">
        <v>0</v>
      </c>
      <c r="S41" s="874">
        <v>0</v>
      </c>
      <c r="T41" s="872"/>
      <c r="U41" s="875">
        <v>0</v>
      </c>
      <c r="V41" s="858">
        <v>0</v>
      </c>
      <c r="W41" s="872">
        <v>0</v>
      </c>
      <c r="X41" s="872">
        <v>0</v>
      </c>
      <c r="Y41" s="874">
        <v>0</v>
      </c>
      <c r="Z41" s="872"/>
      <c r="AA41" s="875">
        <v>0</v>
      </c>
      <c r="AB41" s="858">
        <v>0</v>
      </c>
      <c r="AC41" s="872">
        <v>0</v>
      </c>
      <c r="AD41" s="872">
        <v>0</v>
      </c>
      <c r="AE41" s="874">
        <v>0</v>
      </c>
      <c r="AF41" s="872"/>
      <c r="AG41" s="875">
        <v>0</v>
      </c>
      <c r="AH41" s="858">
        <v>0</v>
      </c>
      <c r="AI41" s="872">
        <v>0</v>
      </c>
      <c r="AJ41" s="872">
        <v>0</v>
      </c>
      <c r="AK41" s="874">
        <v>0</v>
      </c>
      <c r="AL41" s="872"/>
      <c r="AM41" s="875">
        <v>0</v>
      </c>
      <c r="AN41" s="858">
        <v>0</v>
      </c>
      <c r="AO41" s="872">
        <v>0</v>
      </c>
      <c r="AP41" s="872">
        <v>0</v>
      </c>
      <c r="AQ41" s="874">
        <v>0</v>
      </c>
      <c r="AR41" s="872"/>
      <c r="AS41" s="875">
        <v>0</v>
      </c>
      <c r="AT41" s="858">
        <v>0</v>
      </c>
      <c r="AU41" s="872">
        <v>0</v>
      </c>
      <c r="AV41" s="872">
        <v>0</v>
      </c>
      <c r="AW41" s="874">
        <v>0</v>
      </c>
      <c r="AX41" s="872"/>
      <c r="AY41" s="875">
        <v>0</v>
      </c>
      <c r="AZ41" s="858">
        <v>0</v>
      </c>
      <c r="BA41" s="872">
        <v>0</v>
      </c>
      <c r="BB41" s="872">
        <v>0</v>
      </c>
      <c r="BC41" s="874">
        <v>0</v>
      </c>
      <c r="BD41" s="872"/>
      <c r="BE41" s="875">
        <v>0</v>
      </c>
      <c r="BF41" s="858">
        <v>0</v>
      </c>
      <c r="BG41" s="872">
        <v>0</v>
      </c>
      <c r="BH41" s="872">
        <v>0</v>
      </c>
      <c r="BI41" s="874">
        <v>0</v>
      </c>
      <c r="BJ41" s="872"/>
      <c r="BK41" s="875">
        <v>0</v>
      </c>
      <c r="BL41" s="858">
        <v>0</v>
      </c>
      <c r="BM41" s="872">
        <v>0</v>
      </c>
      <c r="BN41" s="872">
        <v>0</v>
      </c>
      <c r="BO41" s="874">
        <v>0</v>
      </c>
      <c r="BP41" s="872"/>
      <c r="BQ41" s="875">
        <v>0</v>
      </c>
      <c r="BR41" s="858">
        <v>0</v>
      </c>
      <c r="BS41" s="872">
        <v>0</v>
      </c>
      <c r="BT41" s="872">
        <v>0</v>
      </c>
      <c r="BU41" s="874">
        <v>0</v>
      </c>
      <c r="BV41" s="872"/>
      <c r="BW41" s="875">
        <v>0</v>
      </c>
      <c r="BX41" s="858">
        <v>0</v>
      </c>
      <c r="BY41" s="872">
        <v>0</v>
      </c>
      <c r="BZ41" s="872">
        <v>0</v>
      </c>
      <c r="CA41" s="874">
        <v>0</v>
      </c>
      <c r="CB41" s="872"/>
      <c r="CC41" s="875">
        <v>0</v>
      </c>
      <c r="CD41" s="858">
        <v>0</v>
      </c>
      <c r="CE41" s="872">
        <v>0</v>
      </c>
      <c r="CF41" s="872">
        <v>0</v>
      </c>
      <c r="CG41" s="874">
        <v>0</v>
      </c>
      <c r="CH41" s="872"/>
      <c r="CI41" s="874">
        <v>0</v>
      </c>
      <c r="CJ41" s="858">
        <v>0</v>
      </c>
      <c r="CK41" s="872">
        <v>0</v>
      </c>
      <c r="CL41" s="872">
        <v>0</v>
      </c>
      <c r="CM41" s="874">
        <v>0</v>
      </c>
      <c r="CN41" s="872"/>
      <c r="CO41" s="875">
        <v>0</v>
      </c>
      <c r="CP41" s="858">
        <v>0</v>
      </c>
      <c r="CQ41" s="872">
        <v>0</v>
      </c>
      <c r="CR41" s="872">
        <v>0</v>
      </c>
      <c r="CS41" s="874">
        <v>0</v>
      </c>
      <c r="CT41" s="858" t="s">
        <v>1441</v>
      </c>
      <c r="CU41" s="875">
        <v>0.85</v>
      </c>
      <c r="CV41" s="858">
        <v>14024.02114</v>
      </c>
      <c r="CW41" s="872">
        <v>12634.2532792793</v>
      </c>
      <c r="CX41" s="872">
        <v>1389.76786072072</v>
      </c>
      <c r="CY41" s="874">
        <v>0.85</v>
      </c>
      <c r="CZ41" s="858" t="s">
        <v>1441</v>
      </c>
      <c r="DA41" s="875">
        <v>0</v>
      </c>
      <c r="DB41" s="858">
        <v>0</v>
      </c>
      <c r="DC41" s="872">
        <v>0</v>
      </c>
      <c r="DD41" s="872">
        <v>0</v>
      </c>
      <c r="DE41" s="874">
        <v>0.85</v>
      </c>
      <c r="DF41" s="858" t="s">
        <v>1442</v>
      </c>
      <c r="DG41" s="875">
        <v>0.1</v>
      </c>
      <c r="DH41" s="858">
        <v>1649.88484</v>
      </c>
      <c r="DI41" s="872">
        <v>1486.38273873874</v>
      </c>
      <c r="DJ41" s="872">
        <v>163.502101261261</v>
      </c>
      <c r="DK41" s="874">
        <v>0.95</v>
      </c>
      <c r="DL41" s="858" t="s">
        <v>1443</v>
      </c>
      <c r="DM41" s="875">
        <v>0.05</v>
      </c>
      <c r="DN41" s="858">
        <v>824.94242</v>
      </c>
      <c r="DO41" s="872">
        <v>743.191369369369</v>
      </c>
      <c r="DP41" s="872">
        <v>81.7510506306307</v>
      </c>
      <c r="DQ41" s="872">
        <v>0</v>
      </c>
    </row>
    <row r="42" s="861" customFormat="1" ht="14.25" customHeight="1" spans="1:121">
      <c r="A42" s="852">
        <v>40</v>
      </c>
      <c r="B42" s="853" t="s">
        <v>1345</v>
      </c>
      <c r="C42" s="853" t="s">
        <v>1349</v>
      </c>
      <c r="D42" s="873" t="s">
        <v>1364</v>
      </c>
      <c r="E42" s="869">
        <v>1122.0768</v>
      </c>
      <c r="F42" s="870">
        <v>0.11</v>
      </c>
      <c r="G42" s="874">
        <v>0</v>
      </c>
      <c r="H42" s="872"/>
      <c r="I42" s="875">
        <v>0</v>
      </c>
      <c r="J42" s="858">
        <v>0</v>
      </c>
      <c r="K42" s="872">
        <v>0</v>
      </c>
      <c r="L42" s="872">
        <v>0</v>
      </c>
      <c r="M42" s="874">
        <v>0</v>
      </c>
      <c r="N42" s="872"/>
      <c r="O42" s="875">
        <v>0</v>
      </c>
      <c r="P42" s="858">
        <v>0</v>
      </c>
      <c r="Q42" s="872">
        <v>0</v>
      </c>
      <c r="R42" s="872">
        <v>0</v>
      </c>
      <c r="S42" s="874">
        <v>0</v>
      </c>
      <c r="T42" s="872"/>
      <c r="U42" s="875">
        <v>0</v>
      </c>
      <c r="V42" s="858">
        <v>0</v>
      </c>
      <c r="W42" s="872">
        <v>0</v>
      </c>
      <c r="X42" s="872">
        <v>0</v>
      </c>
      <c r="Y42" s="874">
        <v>0</v>
      </c>
      <c r="Z42" s="872"/>
      <c r="AA42" s="875">
        <v>0</v>
      </c>
      <c r="AB42" s="858">
        <v>0</v>
      </c>
      <c r="AC42" s="872">
        <v>0</v>
      </c>
      <c r="AD42" s="872">
        <v>0</v>
      </c>
      <c r="AE42" s="874">
        <v>0</v>
      </c>
      <c r="AF42" s="872"/>
      <c r="AG42" s="875">
        <v>0</v>
      </c>
      <c r="AH42" s="858">
        <v>0</v>
      </c>
      <c r="AI42" s="872">
        <v>0</v>
      </c>
      <c r="AJ42" s="872">
        <v>0</v>
      </c>
      <c r="AK42" s="874">
        <v>0</v>
      </c>
      <c r="AL42" s="872"/>
      <c r="AM42" s="875">
        <v>0</v>
      </c>
      <c r="AN42" s="858">
        <v>0</v>
      </c>
      <c r="AO42" s="872">
        <v>0</v>
      </c>
      <c r="AP42" s="872">
        <v>0</v>
      </c>
      <c r="AQ42" s="874">
        <v>0</v>
      </c>
      <c r="AR42" s="872"/>
      <c r="AS42" s="875">
        <v>0</v>
      </c>
      <c r="AT42" s="858">
        <v>0</v>
      </c>
      <c r="AU42" s="872">
        <v>0</v>
      </c>
      <c r="AV42" s="872">
        <v>0</v>
      </c>
      <c r="AW42" s="874">
        <v>0</v>
      </c>
      <c r="AX42" s="858" t="s">
        <v>1441</v>
      </c>
      <c r="AY42" s="875">
        <v>0</v>
      </c>
      <c r="AZ42" s="858">
        <v>0</v>
      </c>
      <c r="BA42" s="872">
        <v>0</v>
      </c>
      <c r="BB42" s="872">
        <v>0</v>
      </c>
      <c r="BC42" s="874">
        <v>0</v>
      </c>
      <c r="BD42" s="872"/>
      <c r="BE42" s="875">
        <v>0.1</v>
      </c>
      <c r="BF42" s="858">
        <v>112.20768</v>
      </c>
      <c r="BG42" s="872">
        <v>101.088</v>
      </c>
      <c r="BH42" s="872">
        <v>11.11968</v>
      </c>
      <c r="BI42" s="874">
        <v>0.1</v>
      </c>
      <c r="BJ42" s="872"/>
      <c r="BK42" s="875">
        <v>0</v>
      </c>
      <c r="BL42" s="858">
        <v>0</v>
      </c>
      <c r="BM42" s="872">
        <v>0</v>
      </c>
      <c r="BN42" s="872">
        <v>0</v>
      </c>
      <c r="BO42" s="874">
        <v>0.1</v>
      </c>
      <c r="BP42" s="872"/>
      <c r="BQ42" s="875">
        <v>0</v>
      </c>
      <c r="BR42" s="858">
        <v>0</v>
      </c>
      <c r="BS42" s="872">
        <v>0</v>
      </c>
      <c r="BT42" s="872">
        <v>0</v>
      </c>
      <c r="BU42" s="874">
        <v>0.1</v>
      </c>
      <c r="BV42" s="872"/>
      <c r="BW42" s="875">
        <v>0</v>
      </c>
      <c r="BX42" s="858">
        <v>0</v>
      </c>
      <c r="BY42" s="872">
        <v>0</v>
      </c>
      <c r="BZ42" s="872">
        <v>0</v>
      </c>
      <c r="CA42" s="874">
        <v>0.1</v>
      </c>
      <c r="CB42" s="872"/>
      <c r="CC42" s="875">
        <v>0</v>
      </c>
      <c r="CD42" s="858">
        <v>0</v>
      </c>
      <c r="CE42" s="872">
        <v>0</v>
      </c>
      <c r="CF42" s="872">
        <v>0</v>
      </c>
      <c r="CG42" s="874">
        <v>0.1</v>
      </c>
      <c r="CH42" s="872"/>
      <c r="CI42" s="874">
        <v>0</v>
      </c>
      <c r="CJ42" s="858">
        <v>0</v>
      </c>
      <c r="CK42" s="872">
        <v>0</v>
      </c>
      <c r="CL42" s="872">
        <v>0</v>
      </c>
      <c r="CM42" s="874">
        <v>0.1</v>
      </c>
      <c r="CN42" s="872"/>
      <c r="CO42" s="875">
        <v>0</v>
      </c>
      <c r="CP42" s="858">
        <v>0</v>
      </c>
      <c r="CQ42" s="872">
        <v>0</v>
      </c>
      <c r="CR42" s="872">
        <v>0</v>
      </c>
      <c r="CS42" s="874">
        <v>0.1</v>
      </c>
      <c r="CT42" s="858" t="s">
        <v>1441</v>
      </c>
      <c r="CU42" s="875">
        <v>0.75</v>
      </c>
      <c r="CV42" s="858">
        <v>841.5576</v>
      </c>
      <c r="CW42" s="872">
        <v>758.16</v>
      </c>
      <c r="CX42" s="872">
        <v>83.3976000000001</v>
      </c>
      <c r="CY42" s="874">
        <v>0.85</v>
      </c>
      <c r="CZ42" s="872"/>
      <c r="DA42" s="875">
        <v>0</v>
      </c>
      <c r="DB42" s="858">
        <v>0</v>
      </c>
      <c r="DC42" s="872">
        <v>0</v>
      </c>
      <c r="DD42" s="872">
        <v>0</v>
      </c>
      <c r="DE42" s="874">
        <v>0.85</v>
      </c>
      <c r="DF42" s="858" t="s">
        <v>1442</v>
      </c>
      <c r="DG42" s="875">
        <v>0.1</v>
      </c>
      <c r="DH42" s="858">
        <v>112.20768</v>
      </c>
      <c r="DI42" s="872">
        <v>101.088</v>
      </c>
      <c r="DJ42" s="872">
        <v>11.11968</v>
      </c>
      <c r="DK42" s="874">
        <v>0.95</v>
      </c>
      <c r="DL42" s="858" t="s">
        <v>1443</v>
      </c>
      <c r="DM42" s="875">
        <v>0.05</v>
      </c>
      <c r="DN42" s="858">
        <v>56.10384</v>
      </c>
      <c r="DO42" s="872">
        <v>50.544</v>
      </c>
      <c r="DP42" s="872">
        <v>5.55984000000001</v>
      </c>
      <c r="DQ42" s="872">
        <v>0</v>
      </c>
    </row>
    <row r="43" s="861" customFormat="1" ht="14.25" customHeight="1" spans="1:121">
      <c r="A43" s="852">
        <v>41</v>
      </c>
      <c r="B43" s="853" t="s">
        <v>1345</v>
      </c>
      <c r="C43" s="853" t="s">
        <v>1349</v>
      </c>
      <c r="D43" s="873" t="s">
        <v>1365</v>
      </c>
      <c r="E43" s="869">
        <v>1870.128</v>
      </c>
      <c r="F43" s="870">
        <v>0.11</v>
      </c>
      <c r="G43" s="874">
        <v>0</v>
      </c>
      <c r="H43" s="872"/>
      <c r="I43" s="875">
        <v>0</v>
      </c>
      <c r="J43" s="858">
        <v>0</v>
      </c>
      <c r="K43" s="872">
        <v>0</v>
      </c>
      <c r="L43" s="872">
        <v>0</v>
      </c>
      <c r="M43" s="874">
        <v>0</v>
      </c>
      <c r="N43" s="872"/>
      <c r="O43" s="875">
        <v>0</v>
      </c>
      <c r="P43" s="858">
        <v>0</v>
      </c>
      <c r="Q43" s="872">
        <v>0</v>
      </c>
      <c r="R43" s="872">
        <v>0</v>
      </c>
      <c r="S43" s="874">
        <v>0</v>
      </c>
      <c r="T43" s="872"/>
      <c r="U43" s="875">
        <v>0</v>
      </c>
      <c r="V43" s="858">
        <v>0</v>
      </c>
      <c r="W43" s="872">
        <v>0</v>
      </c>
      <c r="X43" s="872">
        <v>0</v>
      </c>
      <c r="Y43" s="874">
        <v>0</v>
      </c>
      <c r="Z43" s="872"/>
      <c r="AA43" s="875">
        <v>0</v>
      </c>
      <c r="AB43" s="858">
        <v>0</v>
      </c>
      <c r="AC43" s="872">
        <v>0</v>
      </c>
      <c r="AD43" s="872">
        <v>0</v>
      </c>
      <c r="AE43" s="874">
        <v>0</v>
      </c>
      <c r="AF43" s="872"/>
      <c r="AG43" s="875">
        <v>0</v>
      </c>
      <c r="AH43" s="858">
        <v>0</v>
      </c>
      <c r="AI43" s="872">
        <v>0</v>
      </c>
      <c r="AJ43" s="872">
        <v>0</v>
      </c>
      <c r="AK43" s="874">
        <v>0</v>
      </c>
      <c r="AL43" s="872"/>
      <c r="AM43" s="875">
        <v>0</v>
      </c>
      <c r="AN43" s="858">
        <v>0</v>
      </c>
      <c r="AO43" s="872">
        <v>0</v>
      </c>
      <c r="AP43" s="872">
        <v>0</v>
      </c>
      <c r="AQ43" s="874">
        <v>0</v>
      </c>
      <c r="AR43" s="872"/>
      <c r="AS43" s="875">
        <v>0</v>
      </c>
      <c r="AT43" s="858">
        <v>0</v>
      </c>
      <c r="AU43" s="872">
        <v>0</v>
      </c>
      <c r="AV43" s="872">
        <v>0</v>
      </c>
      <c r="AW43" s="874">
        <v>0</v>
      </c>
      <c r="AX43" s="858" t="s">
        <v>1441</v>
      </c>
      <c r="AY43" s="875">
        <v>0</v>
      </c>
      <c r="AZ43" s="858">
        <v>0</v>
      </c>
      <c r="BA43" s="872">
        <v>0</v>
      </c>
      <c r="BB43" s="872">
        <v>0</v>
      </c>
      <c r="BC43" s="874">
        <v>0</v>
      </c>
      <c r="BD43" s="872"/>
      <c r="BE43" s="875">
        <v>0.1</v>
      </c>
      <c r="BF43" s="858">
        <v>187.0128</v>
      </c>
      <c r="BG43" s="872">
        <v>168.48</v>
      </c>
      <c r="BH43" s="872">
        <v>18.5328</v>
      </c>
      <c r="BI43" s="874">
        <v>0.1</v>
      </c>
      <c r="BJ43" s="872"/>
      <c r="BK43" s="875">
        <v>0</v>
      </c>
      <c r="BL43" s="858">
        <v>0</v>
      </c>
      <c r="BM43" s="872">
        <v>0</v>
      </c>
      <c r="BN43" s="872">
        <v>0</v>
      </c>
      <c r="BO43" s="874">
        <v>0.1</v>
      </c>
      <c r="BP43" s="872"/>
      <c r="BQ43" s="875">
        <v>0</v>
      </c>
      <c r="BR43" s="858">
        <v>0</v>
      </c>
      <c r="BS43" s="872">
        <v>0</v>
      </c>
      <c r="BT43" s="872">
        <v>0</v>
      </c>
      <c r="BU43" s="874">
        <v>0.1</v>
      </c>
      <c r="BV43" s="872"/>
      <c r="BW43" s="875">
        <v>0</v>
      </c>
      <c r="BX43" s="858">
        <v>0</v>
      </c>
      <c r="BY43" s="872">
        <v>0</v>
      </c>
      <c r="BZ43" s="872">
        <v>0</v>
      </c>
      <c r="CA43" s="874">
        <v>0.1</v>
      </c>
      <c r="CB43" s="872"/>
      <c r="CC43" s="875">
        <v>0</v>
      </c>
      <c r="CD43" s="858">
        <v>0</v>
      </c>
      <c r="CE43" s="872">
        <v>0</v>
      </c>
      <c r="CF43" s="872">
        <v>0</v>
      </c>
      <c r="CG43" s="874">
        <v>0.1</v>
      </c>
      <c r="CH43" s="872"/>
      <c r="CI43" s="874">
        <v>0</v>
      </c>
      <c r="CJ43" s="858">
        <v>0</v>
      </c>
      <c r="CK43" s="872">
        <v>0</v>
      </c>
      <c r="CL43" s="872">
        <v>0</v>
      </c>
      <c r="CM43" s="874">
        <v>0.1</v>
      </c>
      <c r="CN43" s="872"/>
      <c r="CO43" s="875">
        <v>0</v>
      </c>
      <c r="CP43" s="858">
        <v>0</v>
      </c>
      <c r="CQ43" s="872">
        <v>0</v>
      </c>
      <c r="CR43" s="872">
        <v>0</v>
      </c>
      <c r="CS43" s="874">
        <v>0.1</v>
      </c>
      <c r="CT43" s="858" t="s">
        <v>1441</v>
      </c>
      <c r="CU43" s="875">
        <v>0.75</v>
      </c>
      <c r="CV43" s="858">
        <v>1402.596</v>
      </c>
      <c r="CW43" s="872">
        <v>1263.6</v>
      </c>
      <c r="CX43" s="872">
        <v>138.996</v>
      </c>
      <c r="CY43" s="874">
        <v>0.85</v>
      </c>
      <c r="CZ43" s="872"/>
      <c r="DA43" s="875">
        <v>0</v>
      </c>
      <c r="DB43" s="858">
        <v>0</v>
      </c>
      <c r="DC43" s="872">
        <v>0</v>
      </c>
      <c r="DD43" s="872">
        <v>0</v>
      </c>
      <c r="DE43" s="874">
        <v>0.85</v>
      </c>
      <c r="DF43" s="858" t="s">
        <v>1442</v>
      </c>
      <c r="DG43" s="875">
        <v>0.1</v>
      </c>
      <c r="DH43" s="858">
        <v>187.0128</v>
      </c>
      <c r="DI43" s="872">
        <v>168.48</v>
      </c>
      <c r="DJ43" s="872">
        <v>18.5328</v>
      </c>
      <c r="DK43" s="874">
        <v>0.95</v>
      </c>
      <c r="DL43" s="858" t="s">
        <v>1443</v>
      </c>
      <c r="DM43" s="875">
        <v>0.05</v>
      </c>
      <c r="DN43" s="858">
        <v>93.5064</v>
      </c>
      <c r="DO43" s="872">
        <v>84.24</v>
      </c>
      <c r="DP43" s="872">
        <v>9.2664</v>
      </c>
      <c r="DQ43" s="872">
        <v>0</v>
      </c>
    </row>
    <row r="44" s="861" customFormat="1" ht="14.25" customHeight="1" spans="1:121">
      <c r="A44" s="852">
        <v>42</v>
      </c>
      <c r="B44" s="853" t="s">
        <v>1345</v>
      </c>
      <c r="C44" s="853" t="s">
        <v>1366</v>
      </c>
      <c r="D44" s="873" t="s">
        <v>1367</v>
      </c>
      <c r="E44" s="869">
        <v>311.688</v>
      </c>
      <c r="F44" s="870">
        <v>0.11</v>
      </c>
      <c r="G44" s="874">
        <v>0</v>
      </c>
      <c r="H44" s="872"/>
      <c r="I44" s="875">
        <v>0</v>
      </c>
      <c r="J44" s="858">
        <v>0</v>
      </c>
      <c r="K44" s="872">
        <v>0</v>
      </c>
      <c r="L44" s="872">
        <v>0</v>
      </c>
      <c r="M44" s="874">
        <v>0</v>
      </c>
      <c r="N44" s="872"/>
      <c r="O44" s="875">
        <v>0</v>
      </c>
      <c r="P44" s="858">
        <v>0</v>
      </c>
      <c r="Q44" s="872">
        <v>0</v>
      </c>
      <c r="R44" s="872">
        <v>0</v>
      </c>
      <c r="S44" s="874">
        <v>0</v>
      </c>
      <c r="T44" s="872"/>
      <c r="U44" s="875">
        <v>0</v>
      </c>
      <c r="V44" s="858">
        <v>0</v>
      </c>
      <c r="W44" s="872">
        <v>0</v>
      </c>
      <c r="X44" s="872">
        <v>0</v>
      </c>
      <c r="Y44" s="874">
        <v>0</v>
      </c>
      <c r="Z44" s="872"/>
      <c r="AA44" s="875">
        <v>0</v>
      </c>
      <c r="AB44" s="858">
        <v>0</v>
      </c>
      <c r="AC44" s="872">
        <v>0</v>
      </c>
      <c r="AD44" s="872">
        <v>0</v>
      </c>
      <c r="AE44" s="874">
        <v>0</v>
      </c>
      <c r="AF44" s="872"/>
      <c r="AG44" s="875">
        <v>0</v>
      </c>
      <c r="AH44" s="858">
        <v>0</v>
      </c>
      <c r="AI44" s="872">
        <v>0</v>
      </c>
      <c r="AJ44" s="872">
        <v>0</v>
      </c>
      <c r="AK44" s="874">
        <v>0</v>
      </c>
      <c r="AL44" s="872"/>
      <c r="AM44" s="875">
        <v>0</v>
      </c>
      <c r="AN44" s="858">
        <v>0</v>
      </c>
      <c r="AO44" s="872">
        <v>0</v>
      </c>
      <c r="AP44" s="872">
        <v>0</v>
      </c>
      <c r="AQ44" s="874">
        <v>0</v>
      </c>
      <c r="AR44" s="872"/>
      <c r="AS44" s="875">
        <v>0</v>
      </c>
      <c r="AT44" s="858">
        <v>0</v>
      </c>
      <c r="AU44" s="872">
        <v>0</v>
      </c>
      <c r="AV44" s="872">
        <v>0</v>
      </c>
      <c r="AW44" s="874">
        <v>0</v>
      </c>
      <c r="AX44" s="858" t="s">
        <v>1441</v>
      </c>
      <c r="AY44" s="875">
        <v>0</v>
      </c>
      <c r="AZ44" s="858">
        <v>0</v>
      </c>
      <c r="BA44" s="872">
        <v>0</v>
      </c>
      <c r="BB44" s="872">
        <v>0</v>
      </c>
      <c r="BC44" s="874">
        <v>0</v>
      </c>
      <c r="BD44" s="872"/>
      <c r="BE44" s="875">
        <v>0.1</v>
      </c>
      <c r="BF44" s="858">
        <v>31.1688</v>
      </c>
      <c r="BG44" s="872">
        <v>28.08</v>
      </c>
      <c r="BH44" s="872">
        <v>3.0888</v>
      </c>
      <c r="BI44" s="874">
        <v>0.1</v>
      </c>
      <c r="BJ44" s="872"/>
      <c r="BK44" s="875">
        <v>0</v>
      </c>
      <c r="BL44" s="858">
        <v>0</v>
      </c>
      <c r="BM44" s="872">
        <v>0</v>
      </c>
      <c r="BN44" s="872">
        <v>0</v>
      </c>
      <c r="BO44" s="874">
        <v>0.1</v>
      </c>
      <c r="BP44" s="872"/>
      <c r="BQ44" s="875">
        <v>0</v>
      </c>
      <c r="BR44" s="858">
        <v>0</v>
      </c>
      <c r="BS44" s="872">
        <v>0</v>
      </c>
      <c r="BT44" s="872">
        <v>0</v>
      </c>
      <c r="BU44" s="874">
        <v>0.1</v>
      </c>
      <c r="BV44" s="872"/>
      <c r="BW44" s="875">
        <v>0</v>
      </c>
      <c r="BX44" s="858">
        <v>0</v>
      </c>
      <c r="BY44" s="872">
        <v>0</v>
      </c>
      <c r="BZ44" s="872">
        <v>0</v>
      </c>
      <c r="CA44" s="874">
        <v>0.1</v>
      </c>
      <c r="CB44" s="872"/>
      <c r="CC44" s="875">
        <v>0</v>
      </c>
      <c r="CD44" s="858">
        <v>0</v>
      </c>
      <c r="CE44" s="872">
        <v>0</v>
      </c>
      <c r="CF44" s="872">
        <v>0</v>
      </c>
      <c r="CG44" s="874">
        <v>0.1</v>
      </c>
      <c r="CH44" s="872"/>
      <c r="CI44" s="874">
        <v>0</v>
      </c>
      <c r="CJ44" s="858">
        <v>0</v>
      </c>
      <c r="CK44" s="872">
        <v>0</v>
      </c>
      <c r="CL44" s="872">
        <v>0</v>
      </c>
      <c r="CM44" s="874">
        <v>0.1</v>
      </c>
      <c r="CN44" s="872"/>
      <c r="CO44" s="875">
        <v>0</v>
      </c>
      <c r="CP44" s="858">
        <v>0</v>
      </c>
      <c r="CQ44" s="872">
        <v>0</v>
      </c>
      <c r="CR44" s="872">
        <v>0</v>
      </c>
      <c r="CS44" s="874">
        <v>0.1</v>
      </c>
      <c r="CT44" s="858" t="s">
        <v>1441</v>
      </c>
      <c r="CU44" s="875">
        <v>0.75</v>
      </c>
      <c r="CV44" s="858">
        <v>233.766</v>
      </c>
      <c r="CW44" s="872">
        <v>210.6</v>
      </c>
      <c r="CX44" s="872">
        <v>23.166</v>
      </c>
      <c r="CY44" s="874">
        <v>0.85</v>
      </c>
      <c r="CZ44" s="872"/>
      <c r="DA44" s="875">
        <v>0</v>
      </c>
      <c r="DB44" s="858">
        <v>0</v>
      </c>
      <c r="DC44" s="872">
        <v>0</v>
      </c>
      <c r="DD44" s="872">
        <v>0</v>
      </c>
      <c r="DE44" s="874">
        <v>0.85</v>
      </c>
      <c r="DF44" s="858" t="s">
        <v>1442</v>
      </c>
      <c r="DG44" s="875">
        <v>0.1</v>
      </c>
      <c r="DH44" s="858">
        <v>31.1688</v>
      </c>
      <c r="DI44" s="872">
        <v>28.08</v>
      </c>
      <c r="DJ44" s="872">
        <v>3.0888</v>
      </c>
      <c r="DK44" s="874">
        <v>0.95</v>
      </c>
      <c r="DL44" s="858" t="s">
        <v>1443</v>
      </c>
      <c r="DM44" s="875">
        <v>0.05</v>
      </c>
      <c r="DN44" s="858">
        <v>15.5844</v>
      </c>
      <c r="DO44" s="872">
        <v>14.04</v>
      </c>
      <c r="DP44" s="872">
        <v>1.5444</v>
      </c>
      <c r="DQ44" s="872">
        <v>0</v>
      </c>
    </row>
    <row r="45" s="861" customFormat="1" ht="14.25" customHeight="1" spans="1:121">
      <c r="A45" s="852">
        <v>43</v>
      </c>
      <c r="B45" s="853" t="s">
        <v>1345</v>
      </c>
      <c r="C45" s="853" t="s">
        <v>1349</v>
      </c>
      <c r="D45" s="873" t="s">
        <v>1368</v>
      </c>
      <c r="E45" s="869">
        <v>935.064</v>
      </c>
      <c r="F45" s="870">
        <v>0.11</v>
      </c>
      <c r="G45" s="874">
        <v>0</v>
      </c>
      <c r="H45" s="872"/>
      <c r="I45" s="875">
        <v>0</v>
      </c>
      <c r="J45" s="858">
        <v>0</v>
      </c>
      <c r="K45" s="872">
        <v>0</v>
      </c>
      <c r="L45" s="872">
        <v>0</v>
      </c>
      <c r="M45" s="874">
        <v>0</v>
      </c>
      <c r="N45" s="872"/>
      <c r="O45" s="875">
        <v>0</v>
      </c>
      <c r="P45" s="858">
        <v>0</v>
      </c>
      <c r="Q45" s="872">
        <v>0</v>
      </c>
      <c r="R45" s="872">
        <v>0</v>
      </c>
      <c r="S45" s="874">
        <v>0</v>
      </c>
      <c r="T45" s="872"/>
      <c r="U45" s="875">
        <v>0</v>
      </c>
      <c r="V45" s="858">
        <v>0</v>
      </c>
      <c r="W45" s="872">
        <v>0</v>
      </c>
      <c r="X45" s="872">
        <v>0</v>
      </c>
      <c r="Y45" s="874">
        <v>0</v>
      </c>
      <c r="Z45" s="872"/>
      <c r="AA45" s="875">
        <v>0</v>
      </c>
      <c r="AB45" s="858">
        <v>0</v>
      </c>
      <c r="AC45" s="872">
        <v>0</v>
      </c>
      <c r="AD45" s="872">
        <v>0</v>
      </c>
      <c r="AE45" s="874">
        <v>0</v>
      </c>
      <c r="AF45" s="872"/>
      <c r="AG45" s="875">
        <v>0</v>
      </c>
      <c r="AH45" s="858">
        <v>0</v>
      </c>
      <c r="AI45" s="872">
        <v>0</v>
      </c>
      <c r="AJ45" s="872">
        <v>0</v>
      </c>
      <c r="AK45" s="874">
        <v>0</v>
      </c>
      <c r="AL45" s="872"/>
      <c r="AM45" s="875">
        <v>0</v>
      </c>
      <c r="AN45" s="858">
        <v>0</v>
      </c>
      <c r="AO45" s="872">
        <v>0</v>
      </c>
      <c r="AP45" s="872">
        <v>0</v>
      </c>
      <c r="AQ45" s="874">
        <v>0</v>
      </c>
      <c r="AR45" s="872"/>
      <c r="AS45" s="875">
        <v>0</v>
      </c>
      <c r="AT45" s="858">
        <v>0</v>
      </c>
      <c r="AU45" s="872">
        <v>0</v>
      </c>
      <c r="AV45" s="872">
        <v>0</v>
      </c>
      <c r="AW45" s="874">
        <v>0</v>
      </c>
      <c r="AX45" s="858" t="s">
        <v>1441</v>
      </c>
      <c r="AY45" s="875">
        <v>0</v>
      </c>
      <c r="AZ45" s="858">
        <v>0</v>
      </c>
      <c r="BA45" s="872">
        <v>0</v>
      </c>
      <c r="BB45" s="872">
        <v>0</v>
      </c>
      <c r="BC45" s="874">
        <v>0</v>
      </c>
      <c r="BD45" s="872"/>
      <c r="BE45" s="875">
        <v>0.1</v>
      </c>
      <c r="BF45" s="858">
        <v>93.5064</v>
      </c>
      <c r="BG45" s="872">
        <v>84.24</v>
      </c>
      <c r="BH45" s="872">
        <v>9.2664</v>
      </c>
      <c r="BI45" s="874">
        <v>0.1</v>
      </c>
      <c r="BJ45" s="872"/>
      <c r="BK45" s="875">
        <v>0</v>
      </c>
      <c r="BL45" s="858">
        <v>0</v>
      </c>
      <c r="BM45" s="872">
        <v>0</v>
      </c>
      <c r="BN45" s="872">
        <v>0</v>
      </c>
      <c r="BO45" s="874">
        <v>0.1</v>
      </c>
      <c r="BP45" s="872"/>
      <c r="BQ45" s="875">
        <v>0</v>
      </c>
      <c r="BR45" s="858">
        <v>0</v>
      </c>
      <c r="BS45" s="872">
        <v>0</v>
      </c>
      <c r="BT45" s="872">
        <v>0</v>
      </c>
      <c r="BU45" s="874">
        <v>0.1</v>
      </c>
      <c r="BV45" s="872"/>
      <c r="BW45" s="875">
        <v>0</v>
      </c>
      <c r="BX45" s="858">
        <v>0</v>
      </c>
      <c r="BY45" s="872">
        <v>0</v>
      </c>
      <c r="BZ45" s="872">
        <v>0</v>
      </c>
      <c r="CA45" s="874">
        <v>0.1</v>
      </c>
      <c r="CB45" s="872"/>
      <c r="CC45" s="875">
        <v>0</v>
      </c>
      <c r="CD45" s="858">
        <v>0</v>
      </c>
      <c r="CE45" s="872">
        <v>0</v>
      </c>
      <c r="CF45" s="872">
        <v>0</v>
      </c>
      <c r="CG45" s="874">
        <v>0.1</v>
      </c>
      <c r="CH45" s="872"/>
      <c r="CI45" s="874">
        <v>0</v>
      </c>
      <c r="CJ45" s="858">
        <v>0</v>
      </c>
      <c r="CK45" s="872">
        <v>0</v>
      </c>
      <c r="CL45" s="872">
        <v>0</v>
      </c>
      <c r="CM45" s="874">
        <v>0.1</v>
      </c>
      <c r="CN45" s="872"/>
      <c r="CO45" s="875">
        <v>0</v>
      </c>
      <c r="CP45" s="858">
        <v>0</v>
      </c>
      <c r="CQ45" s="872">
        <v>0</v>
      </c>
      <c r="CR45" s="872">
        <v>0</v>
      </c>
      <c r="CS45" s="874">
        <v>0.1</v>
      </c>
      <c r="CT45" s="858" t="s">
        <v>1441</v>
      </c>
      <c r="CU45" s="875">
        <v>0.75</v>
      </c>
      <c r="CV45" s="858">
        <v>701.298</v>
      </c>
      <c r="CW45" s="872">
        <v>631.8</v>
      </c>
      <c r="CX45" s="872">
        <v>69.498</v>
      </c>
      <c r="CY45" s="874">
        <v>0.85</v>
      </c>
      <c r="CZ45" s="872"/>
      <c r="DA45" s="875">
        <v>0</v>
      </c>
      <c r="DB45" s="858">
        <v>0</v>
      </c>
      <c r="DC45" s="872">
        <v>0</v>
      </c>
      <c r="DD45" s="872">
        <v>0</v>
      </c>
      <c r="DE45" s="874">
        <v>0.85</v>
      </c>
      <c r="DF45" s="858" t="s">
        <v>1442</v>
      </c>
      <c r="DG45" s="875">
        <v>0.1</v>
      </c>
      <c r="DH45" s="858">
        <v>93.5064</v>
      </c>
      <c r="DI45" s="872">
        <v>84.24</v>
      </c>
      <c r="DJ45" s="872">
        <v>9.2664</v>
      </c>
      <c r="DK45" s="874">
        <v>0.95</v>
      </c>
      <c r="DL45" s="858" t="s">
        <v>1443</v>
      </c>
      <c r="DM45" s="875">
        <v>0.05</v>
      </c>
      <c r="DN45" s="858">
        <v>46.7532</v>
      </c>
      <c r="DO45" s="872">
        <v>42.12</v>
      </c>
      <c r="DP45" s="872">
        <v>4.6332</v>
      </c>
      <c r="DQ45" s="872">
        <v>0</v>
      </c>
    </row>
    <row r="46" s="861" customFormat="1" ht="14.25" customHeight="1" spans="1:121">
      <c r="A46" s="852">
        <v>44</v>
      </c>
      <c r="B46" s="853" t="s">
        <v>1354</v>
      </c>
      <c r="C46" s="853" t="s">
        <v>1366</v>
      </c>
      <c r="D46" s="873" t="s">
        <v>1369</v>
      </c>
      <c r="E46" s="869">
        <v>103.896</v>
      </c>
      <c r="F46" s="870">
        <v>0.11</v>
      </c>
      <c r="G46" s="874">
        <v>0</v>
      </c>
      <c r="H46" s="872"/>
      <c r="I46" s="875">
        <v>0</v>
      </c>
      <c r="J46" s="858">
        <v>0</v>
      </c>
      <c r="K46" s="872">
        <v>0</v>
      </c>
      <c r="L46" s="872">
        <v>0</v>
      </c>
      <c r="M46" s="874">
        <v>0</v>
      </c>
      <c r="N46" s="872"/>
      <c r="O46" s="875">
        <v>0</v>
      </c>
      <c r="P46" s="858">
        <v>0</v>
      </c>
      <c r="Q46" s="872">
        <v>0</v>
      </c>
      <c r="R46" s="872">
        <v>0</v>
      </c>
      <c r="S46" s="874">
        <v>0</v>
      </c>
      <c r="T46" s="872"/>
      <c r="U46" s="875">
        <v>0</v>
      </c>
      <c r="V46" s="858">
        <v>0</v>
      </c>
      <c r="W46" s="872">
        <v>0</v>
      </c>
      <c r="X46" s="872">
        <v>0</v>
      </c>
      <c r="Y46" s="874">
        <v>0</v>
      </c>
      <c r="Z46" s="872"/>
      <c r="AA46" s="875">
        <v>0</v>
      </c>
      <c r="AB46" s="858">
        <v>0</v>
      </c>
      <c r="AC46" s="872">
        <v>0</v>
      </c>
      <c r="AD46" s="872">
        <v>0</v>
      </c>
      <c r="AE46" s="874">
        <v>0</v>
      </c>
      <c r="AF46" s="872"/>
      <c r="AG46" s="875">
        <v>0</v>
      </c>
      <c r="AH46" s="858">
        <v>0</v>
      </c>
      <c r="AI46" s="872">
        <v>0</v>
      </c>
      <c r="AJ46" s="872">
        <v>0</v>
      </c>
      <c r="AK46" s="874">
        <v>0</v>
      </c>
      <c r="AL46" s="872"/>
      <c r="AM46" s="875">
        <v>0</v>
      </c>
      <c r="AN46" s="858">
        <v>0</v>
      </c>
      <c r="AO46" s="872">
        <v>0</v>
      </c>
      <c r="AP46" s="872">
        <v>0</v>
      </c>
      <c r="AQ46" s="874">
        <v>0</v>
      </c>
      <c r="AR46" s="872"/>
      <c r="AS46" s="875">
        <v>0</v>
      </c>
      <c r="AT46" s="858">
        <v>0</v>
      </c>
      <c r="AU46" s="872">
        <v>0</v>
      </c>
      <c r="AV46" s="872">
        <v>0</v>
      </c>
      <c r="AW46" s="874">
        <v>0</v>
      </c>
      <c r="AX46" s="858" t="s">
        <v>1441</v>
      </c>
      <c r="AY46" s="875">
        <v>0</v>
      </c>
      <c r="AZ46" s="858">
        <v>0</v>
      </c>
      <c r="BA46" s="872">
        <v>0</v>
      </c>
      <c r="BB46" s="872">
        <v>0</v>
      </c>
      <c r="BC46" s="874">
        <v>0</v>
      </c>
      <c r="BD46" s="872"/>
      <c r="BE46" s="875">
        <v>0.1</v>
      </c>
      <c r="BF46" s="858">
        <v>10.3896</v>
      </c>
      <c r="BG46" s="872">
        <v>9.36</v>
      </c>
      <c r="BH46" s="872">
        <v>1.0296</v>
      </c>
      <c r="BI46" s="874">
        <v>0.1</v>
      </c>
      <c r="BJ46" s="872"/>
      <c r="BK46" s="875">
        <v>0</v>
      </c>
      <c r="BL46" s="858">
        <v>0</v>
      </c>
      <c r="BM46" s="872">
        <v>0</v>
      </c>
      <c r="BN46" s="872">
        <v>0</v>
      </c>
      <c r="BO46" s="874">
        <v>0.1</v>
      </c>
      <c r="BP46" s="872"/>
      <c r="BQ46" s="875">
        <v>0</v>
      </c>
      <c r="BR46" s="858">
        <v>0</v>
      </c>
      <c r="BS46" s="872">
        <v>0</v>
      </c>
      <c r="BT46" s="872">
        <v>0</v>
      </c>
      <c r="BU46" s="874">
        <v>0.1</v>
      </c>
      <c r="BV46" s="872"/>
      <c r="BW46" s="875">
        <v>0</v>
      </c>
      <c r="BX46" s="858">
        <v>0</v>
      </c>
      <c r="BY46" s="872">
        <v>0</v>
      </c>
      <c r="BZ46" s="872">
        <v>0</v>
      </c>
      <c r="CA46" s="874">
        <v>0.1</v>
      </c>
      <c r="CB46" s="872"/>
      <c r="CC46" s="875">
        <v>0</v>
      </c>
      <c r="CD46" s="858">
        <v>0</v>
      </c>
      <c r="CE46" s="872">
        <v>0</v>
      </c>
      <c r="CF46" s="872">
        <v>0</v>
      </c>
      <c r="CG46" s="874">
        <v>0.1</v>
      </c>
      <c r="CH46" s="872"/>
      <c r="CI46" s="874">
        <v>0</v>
      </c>
      <c r="CJ46" s="858">
        <v>0</v>
      </c>
      <c r="CK46" s="872">
        <v>0</v>
      </c>
      <c r="CL46" s="872">
        <v>0</v>
      </c>
      <c r="CM46" s="874">
        <v>0.1</v>
      </c>
      <c r="CN46" s="872"/>
      <c r="CO46" s="875">
        <v>0</v>
      </c>
      <c r="CP46" s="858">
        <v>0</v>
      </c>
      <c r="CQ46" s="872">
        <v>0</v>
      </c>
      <c r="CR46" s="872">
        <v>0</v>
      </c>
      <c r="CS46" s="874">
        <v>0.1</v>
      </c>
      <c r="CT46" s="858" t="s">
        <v>1441</v>
      </c>
      <c r="CU46" s="875">
        <v>0.9</v>
      </c>
      <c r="CV46" s="858">
        <v>93.5064</v>
      </c>
      <c r="CW46" s="872">
        <v>84.24</v>
      </c>
      <c r="CX46" s="872">
        <v>9.2664</v>
      </c>
      <c r="CY46" s="874">
        <v>1</v>
      </c>
      <c r="CZ46" s="872"/>
      <c r="DA46" s="875">
        <v>0</v>
      </c>
      <c r="DB46" s="858">
        <v>0</v>
      </c>
      <c r="DC46" s="872">
        <v>0</v>
      </c>
      <c r="DD46" s="872">
        <v>0</v>
      </c>
      <c r="DE46" s="874">
        <v>1</v>
      </c>
      <c r="DF46" s="858" t="s">
        <v>1442</v>
      </c>
      <c r="DG46" s="875"/>
      <c r="DH46" s="858">
        <v>0</v>
      </c>
      <c r="DI46" s="872">
        <v>0</v>
      </c>
      <c r="DJ46" s="872">
        <v>0</v>
      </c>
      <c r="DK46" s="874">
        <v>1</v>
      </c>
      <c r="DL46" s="858" t="s">
        <v>1443</v>
      </c>
      <c r="DM46" s="875">
        <v>0</v>
      </c>
      <c r="DN46" s="858">
        <v>0</v>
      </c>
      <c r="DO46" s="872">
        <v>0</v>
      </c>
      <c r="DP46" s="872">
        <v>0</v>
      </c>
      <c r="DQ46" s="872">
        <v>0</v>
      </c>
    </row>
    <row r="47" s="861" customFormat="1" ht="14.25" customHeight="1" spans="1:121">
      <c r="A47" s="852">
        <v>45</v>
      </c>
      <c r="B47" s="853" t="s">
        <v>1345</v>
      </c>
      <c r="C47" s="853" t="s">
        <v>1366</v>
      </c>
      <c r="D47" s="873" t="s">
        <v>1370</v>
      </c>
      <c r="E47" s="869">
        <v>0</v>
      </c>
      <c r="F47" s="870">
        <v>0.11</v>
      </c>
      <c r="G47" s="874">
        <v>0</v>
      </c>
      <c r="H47" s="872"/>
      <c r="I47" s="875">
        <v>0</v>
      </c>
      <c r="J47" s="858">
        <v>0</v>
      </c>
      <c r="K47" s="872">
        <v>0</v>
      </c>
      <c r="L47" s="872">
        <v>0</v>
      </c>
      <c r="M47" s="874">
        <v>0</v>
      </c>
      <c r="N47" s="872"/>
      <c r="O47" s="875">
        <v>0</v>
      </c>
      <c r="P47" s="858">
        <v>0</v>
      </c>
      <c r="Q47" s="872">
        <v>0</v>
      </c>
      <c r="R47" s="872">
        <v>0</v>
      </c>
      <c r="S47" s="874">
        <v>0</v>
      </c>
      <c r="T47" s="872"/>
      <c r="U47" s="875">
        <v>0</v>
      </c>
      <c r="V47" s="858">
        <v>0</v>
      </c>
      <c r="W47" s="872">
        <v>0</v>
      </c>
      <c r="X47" s="872">
        <v>0</v>
      </c>
      <c r="Y47" s="874">
        <v>0</v>
      </c>
      <c r="Z47" s="872"/>
      <c r="AA47" s="875">
        <v>0</v>
      </c>
      <c r="AB47" s="858">
        <v>0</v>
      </c>
      <c r="AC47" s="872">
        <v>0</v>
      </c>
      <c r="AD47" s="872">
        <v>0</v>
      </c>
      <c r="AE47" s="874">
        <v>0</v>
      </c>
      <c r="AF47" s="872"/>
      <c r="AG47" s="875">
        <v>0</v>
      </c>
      <c r="AH47" s="858">
        <v>0</v>
      </c>
      <c r="AI47" s="872">
        <v>0</v>
      </c>
      <c r="AJ47" s="872">
        <v>0</v>
      </c>
      <c r="AK47" s="874">
        <v>0</v>
      </c>
      <c r="AL47" s="872"/>
      <c r="AM47" s="875">
        <v>0</v>
      </c>
      <c r="AN47" s="858">
        <v>0</v>
      </c>
      <c r="AO47" s="872">
        <v>0</v>
      </c>
      <c r="AP47" s="872">
        <v>0</v>
      </c>
      <c r="AQ47" s="874">
        <v>0</v>
      </c>
      <c r="AR47" s="872"/>
      <c r="AS47" s="875">
        <v>0</v>
      </c>
      <c r="AT47" s="858">
        <v>0</v>
      </c>
      <c r="AU47" s="872">
        <v>0</v>
      </c>
      <c r="AV47" s="872">
        <v>0</v>
      </c>
      <c r="AW47" s="874">
        <v>0</v>
      </c>
      <c r="AX47" s="858" t="s">
        <v>1441</v>
      </c>
      <c r="AY47" s="875">
        <v>0</v>
      </c>
      <c r="AZ47" s="858">
        <v>0</v>
      </c>
      <c r="BA47" s="872">
        <v>0</v>
      </c>
      <c r="BB47" s="872">
        <v>0</v>
      </c>
      <c r="BC47" s="874">
        <v>0</v>
      </c>
      <c r="BD47" s="872"/>
      <c r="BE47" s="875">
        <v>0.1</v>
      </c>
      <c r="BF47" s="858">
        <v>0</v>
      </c>
      <c r="BG47" s="872">
        <v>0</v>
      </c>
      <c r="BH47" s="872">
        <v>0</v>
      </c>
      <c r="BI47" s="874">
        <v>0.1</v>
      </c>
      <c r="BJ47" s="872"/>
      <c r="BK47" s="875">
        <v>0</v>
      </c>
      <c r="BL47" s="858">
        <v>0</v>
      </c>
      <c r="BM47" s="872">
        <v>0</v>
      </c>
      <c r="BN47" s="872">
        <v>0</v>
      </c>
      <c r="BO47" s="874">
        <v>0.1</v>
      </c>
      <c r="BP47" s="872"/>
      <c r="BQ47" s="875">
        <v>0</v>
      </c>
      <c r="BR47" s="858">
        <v>0</v>
      </c>
      <c r="BS47" s="872">
        <v>0</v>
      </c>
      <c r="BT47" s="872">
        <v>0</v>
      </c>
      <c r="BU47" s="874">
        <v>0.1</v>
      </c>
      <c r="BV47" s="872"/>
      <c r="BW47" s="875">
        <v>0</v>
      </c>
      <c r="BX47" s="858">
        <v>0</v>
      </c>
      <c r="BY47" s="872">
        <v>0</v>
      </c>
      <c r="BZ47" s="872">
        <v>0</v>
      </c>
      <c r="CA47" s="874">
        <v>0.1</v>
      </c>
      <c r="CB47" s="872"/>
      <c r="CC47" s="875">
        <v>0</v>
      </c>
      <c r="CD47" s="858">
        <v>0</v>
      </c>
      <c r="CE47" s="872">
        <v>0</v>
      </c>
      <c r="CF47" s="872">
        <v>0</v>
      </c>
      <c r="CG47" s="874">
        <v>0.1</v>
      </c>
      <c r="CH47" s="872"/>
      <c r="CI47" s="874">
        <v>0</v>
      </c>
      <c r="CJ47" s="858">
        <v>0</v>
      </c>
      <c r="CK47" s="872">
        <v>0</v>
      </c>
      <c r="CL47" s="872">
        <v>0</v>
      </c>
      <c r="CM47" s="874">
        <v>0.1</v>
      </c>
      <c r="CN47" s="872"/>
      <c r="CO47" s="875">
        <v>0</v>
      </c>
      <c r="CP47" s="858">
        <v>0</v>
      </c>
      <c r="CQ47" s="872">
        <v>0</v>
      </c>
      <c r="CR47" s="872">
        <v>0</v>
      </c>
      <c r="CS47" s="874">
        <v>0.1</v>
      </c>
      <c r="CT47" s="858" t="s">
        <v>1441</v>
      </c>
      <c r="CU47" s="875">
        <v>0.75</v>
      </c>
      <c r="CV47" s="858">
        <v>0</v>
      </c>
      <c r="CW47" s="872">
        <v>0</v>
      </c>
      <c r="CX47" s="872">
        <v>0</v>
      </c>
      <c r="CY47" s="874">
        <v>0.85</v>
      </c>
      <c r="CZ47" s="872"/>
      <c r="DA47" s="875">
        <v>0</v>
      </c>
      <c r="DB47" s="858">
        <v>0</v>
      </c>
      <c r="DC47" s="872">
        <v>0</v>
      </c>
      <c r="DD47" s="872">
        <v>0</v>
      </c>
      <c r="DE47" s="874">
        <v>0.85</v>
      </c>
      <c r="DF47" s="858" t="s">
        <v>1442</v>
      </c>
      <c r="DG47" s="875">
        <v>0.1</v>
      </c>
      <c r="DH47" s="858">
        <v>0</v>
      </c>
      <c r="DI47" s="872">
        <v>0</v>
      </c>
      <c r="DJ47" s="872">
        <v>0</v>
      </c>
      <c r="DK47" s="874">
        <v>0.95</v>
      </c>
      <c r="DL47" s="858" t="s">
        <v>1443</v>
      </c>
      <c r="DM47" s="875">
        <v>0.05</v>
      </c>
      <c r="DN47" s="858">
        <v>0</v>
      </c>
      <c r="DO47" s="872">
        <v>0</v>
      </c>
      <c r="DP47" s="872">
        <v>0</v>
      </c>
      <c r="DQ47" s="872">
        <v>0</v>
      </c>
    </row>
    <row r="48" s="861" customFormat="1" ht="14.25" customHeight="1" spans="1:121">
      <c r="A48" s="852">
        <v>46</v>
      </c>
      <c r="B48" s="853" t="s">
        <v>1354</v>
      </c>
      <c r="C48" s="853" t="s">
        <v>1366</v>
      </c>
      <c r="D48" s="873" t="s">
        <v>1371</v>
      </c>
      <c r="E48" s="869">
        <v>570.2463</v>
      </c>
      <c r="F48" s="870">
        <v>0.17</v>
      </c>
      <c r="G48" s="874">
        <v>0</v>
      </c>
      <c r="H48" s="872"/>
      <c r="I48" s="875">
        <v>0</v>
      </c>
      <c r="J48" s="858">
        <v>0</v>
      </c>
      <c r="K48" s="872">
        <v>0</v>
      </c>
      <c r="L48" s="872">
        <v>0</v>
      </c>
      <c r="M48" s="874">
        <v>0</v>
      </c>
      <c r="N48" s="872"/>
      <c r="O48" s="875">
        <v>0</v>
      </c>
      <c r="P48" s="858">
        <v>0</v>
      </c>
      <c r="Q48" s="872">
        <v>0</v>
      </c>
      <c r="R48" s="872">
        <v>0</v>
      </c>
      <c r="S48" s="874">
        <v>0</v>
      </c>
      <c r="T48" s="872"/>
      <c r="U48" s="875">
        <v>0</v>
      </c>
      <c r="V48" s="858">
        <v>0</v>
      </c>
      <c r="W48" s="872">
        <v>0</v>
      </c>
      <c r="X48" s="872">
        <v>0</v>
      </c>
      <c r="Y48" s="874">
        <v>0</v>
      </c>
      <c r="Z48" s="872"/>
      <c r="AA48" s="875">
        <v>0</v>
      </c>
      <c r="AB48" s="858">
        <v>0</v>
      </c>
      <c r="AC48" s="872">
        <v>0</v>
      </c>
      <c r="AD48" s="872">
        <v>0</v>
      </c>
      <c r="AE48" s="874">
        <v>0</v>
      </c>
      <c r="AF48" s="872"/>
      <c r="AG48" s="875">
        <v>0</v>
      </c>
      <c r="AH48" s="858">
        <v>0</v>
      </c>
      <c r="AI48" s="872">
        <v>0</v>
      </c>
      <c r="AJ48" s="872">
        <v>0</v>
      </c>
      <c r="AK48" s="874">
        <v>0</v>
      </c>
      <c r="AL48" s="872"/>
      <c r="AM48" s="875">
        <v>0</v>
      </c>
      <c r="AN48" s="858">
        <v>0</v>
      </c>
      <c r="AO48" s="872">
        <v>0</v>
      </c>
      <c r="AP48" s="872">
        <v>0</v>
      </c>
      <c r="AQ48" s="874">
        <v>0</v>
      </c>
      <c r="AR48" s="872"/>
      <c r="AS48" s="875">
        <v>0</v>
      </c>
      <c r="AT48" s="858">
        <v>0</v>
      </c>
      <c r="AU48" s="872">
        <v>0</v>
      </c>
      <c r="AV48" s="872">
        <v>0</v>
      </c>
      <c r="AW48" s="874">
        <v>0</v>
      </c>
      <c r="AX48" s="858" t="s">
        <v>1441</v>
      </c>
      <c r="AY48" s="875">
        <v>0</v>
      </c>
      <c r="AZ48" s="858">
        <v>0</v>
      </c>
      <c r="BA48" s="872">
        <v>0</v>
      </c>
      <c r="BB48" s="872">
        <v>0</v>
      </c>
      <c r="BC48" s="874">
        <v>0</v>
      </c>
      <c r="BD48" s="872"/>
      <c r="BE48" s="875">
        <v>0.1</v>
      </c>
      <c r="BF48" s="858">
        <v>57.02463</v>
      </c>
      <c r="BG48" s="872">
        <v>48.739</v>
      </c>
      <c r="BH48" s="872">
        <v>8.28563</v>
      </c>
      <c r="BI48" s="874">
        <v>0.1</v>
      </c>
      <c r="BJ48" s="872"/>
      <c r="BK48" s="875">
        <v>0</v>
      </c>
      <c r="BL48" s="858">
        <v>0</v>
      </c>
      <c r="BM48" s="872">
        <v>0</v>
      </c>
      <c r="BN48" s="872">
        <v>0</v>
      </c>
      <c r="BO48" s="874">
        <v>0.1</v>
      </c>
      <c r="BP48" s="872"/>
      <c r="BQ48" s="875">
        <v>0</v>
      </c>
      <c r="BR48" s="858">
        <v>0</v>
      </c>
      <c r="BS48" s="872">
        <v>0</v>
      </c>
      <c r="BT48" s="872">
        <v>0</v>
      </c>
      <c r="BU48" s="874">
        <v>0.1</v>
      </c>
      <c r="BV48" s="872"/>
      <c r="BW48" s="875">
        <v>0</v>
      </c>
      <c r="BX48" s="858">
        <v>0</v>
      </c>
      <c r="BY48" s="872">
        <v>0</v>
      </c>
      <c r="BZ48" s="872">
        <v>0</v>
      </c>
      <c r="CA48" s="874">
        <v>0.1</v>
      </c>
      <c r="CB48" s="872"/>
      <c r="CC48" s="875">
        <v>0</v>
      </c>
      <c r="CD48" s="858">
        <v>0</v>
      </c>
      <c r="CE48" s="872">
        <v>0</v>
      </c>
      <c r="CF48" s="872">
        <v>0</v>
      </c>
      <c r="CG48" s="874">
        <v>0.1</v>
      </c>
      <c r="CH48" s="872"/>
      <c r="CI48" s="874">
        <v>0</v>
      </c>
      <c r="CJ48" s="858">
        <v>0</v>
      </c>
      <c r="CK48" s="872">
        <v>0</v>
      </c>
      <c r="CL48" s="872">
        <v>0</v>
      </c>
      <c r="CM48" s="874">
        <v>0.1</v>
      </c>
      <c r="CN48" s="872"/>
      <c r="CO48" s="875">
        <v>0</v>
      </c>
      <c r="CP48" s="858">
        <v>0</v>
      </c>
      <c r="CQ48" s="872">
        <v>0</v>
      </c>
      <c r="CR48" s="872">
        <v>0</v>
      </c>
      <c r="CS48" s="874">
        <v>0.1</v>
      </c>
      <c r="CT48" s="858" t="s">
        <v>1441</v>
      </c>
      <c r="CU48" s="875">
        <v>0.9</v>
      </c>
      <c r="CV48" s="858">
        <v>513.22167</v>
      </c>
      <c r="CW48" s="872">
        <v>438.651</v>
      </c>
      <c r="CX48" s="872">
        <v>74.5706699999999</v>
      </c>
      <c r="CY48" s="874">
        <v>1</v>
      </c>
      <c r="CZ48" s="872"/>
      <c r="DA48" s="875">
        <v>0</v>
      </c>
      <c r="DB48" s="858">
        <v>0</v>
      </c>
      <c r="DC48" s="872">
        <v>0</v>
      </c>
      <c r="DD48" s="872">
        <v>0</v>
      </c>
      <c r="DE48" s="874">
        <v>1</v>
      </c>
      <c r="DF48" s="858" t="s">
        <v>1442</v>
      </c>
      <c r="DG48" s="875"/>
      <c r="DH48" s="858">
        <v>0</v>
      </c>
      <c r="DI48" s="872">
        <v>0</v>
      </c>
      <c r="DJ48" s="872">
        <v>0</v>
      </c>
      <c r="DK48" s="874">
        <v>1</v>
      </c>
      <c r="DL48" s="858" t="s">
        <v>1443</v>
      </c>
      <c r="DM48" s="875">
        <v>0</v>
      </c>
      <c r="DN48" s="858">
        <v>0</v>
      </c>
      <c r="DO48" s="872">
        <v>0</v>
      </c>
      <c r="DP48" s="872">
        <v>0</v>
      </c>
      <c r="DQ48" s="872">
        <v>0</v>
      </c>
    </row>
    <row r="49" s="861" customFormat="1" ht="14.25" customHeight="1" spans="1:121">
      <c r="A49" s="852">
        <v>47</v>
      </c>
      <c r="B49" s="853" t="s">
        <v>1354</v>
      </c>
      <c r="C49" s="853" t="s">
        <v>1366</v>
      </c>
      <c r="D49" s="873" t="s">
        <v>1372</v>
      </c>
      <c r="E49" s="869">
        <v>0</v>
      </c>
      <c r="F49" s="870">
        <v>0.17</v>
      </c>
      <c r="G49" s="874">
        <v>0</v>
      </c>
      <c r="H49" s="872"/>
      <c r="I49" s="875">
        <v>0</v>
      </c>
      <c r="J49" s="858">
        <v>0</v>
      </c>
      <c r="K49" s="872">
        <v>0</v>
      </c>
      <c r="L49" s="872">
        <v>0</v>
      </c>
      <c r="M49" s="874">
        <v>0</v>
      </c>
      <c r="N49" s="872"/>
      <c r="O49" s="875">
        <v>0</v>
      </c>
      <c r="P49" s="858">
        <v>0</v>
      </c>
      <c r="Q49" s="872">
        <v>0</v>
      </c>
      <c r="R49" s="872">
        <v>0</v>
      </c>
      <c r="S49" s="874">
        <v>0</v>
      </c>
      <c r="T49" s="872"/>
      <c r="U49" s="875">
        <v>0</v>
      </c>
      <c r="V49" s="858">
        <v>0</v>
      </c>
      <c r="W49" s="872">
        <v>0</v>
      </c>
      <c r="X49" s="872">
        <v>0</v>
      </c>
      <c r="Y49" s="874">
        <v>0</v>
      </c>
      <c r="Z49" s="872"/>
      <c r="AA49" s="875">
        <v>0</v>
      </c>
      <c r="AB49" s="858">
        <v>0</v>
      </c>
      <c r="AC49" s="872">
        <v>0</v>
      </c>
      <c r="AD49" s="872">
        <v>0</v>
      </c>
      <c r="AE49" s="874">
        <v>0</v>
      </c>
      <c r="AF49" s="872"/>
      <c r="AG49" s="875">
        <v>0</v>
      </c>
      <c r="AH49" s="858">
        <v>0</v>
      </c>
      <c r="AI49" s="872">
        <v>0</v>
      </c>
      <c r="AJ49" s="872">
        <v>0</v>
      </c>
      <c r="AK49" s="874">
        <v>0</v>
      </c>
      <c r="AL49" s="872"/>
      <c r="AM49" s="875">
        <v>0</v>
      </c>
      <c r="AN49" s="858">
        <v>0</v>
      </c>
      <c r="AO49" s="872">
        <v>0</v>
      </c>
      <c r="AP49" s="872">
        <v>0</v>
      </c>
      <c r="AQ49" s="874">
        <v>0</v>
      </c>
      <c r="AR49" s="872"/>
      <c r="AS49" s="875">
        <v>0</v>
      </c>
      <c r="AT49" s="858">
        <v>0</v>
      </c>
      <c r="AU49" s="872">
        <v>0</v>
      </c>
      <c r="AV49" s="872">
        <v>0</v>
      </c>
      <c r="AW49" s="874">
        <v>0</v>
      </c>
      <c r="AX49" s="858" t="s">
        <v>1441</v>
      </c>
      <c r="AY49" s="875">
        <v>0</v>
      </c>
      <c r="AZ49" s="858">
        <v>0</v>
      </c>
      <c r="BA49" s="872">
        <v>0</v>
      </c>
      <c r="BB49" s="872">
        <v>0</v>
      </c>
      <c r="BC49" s="874">
        <v>0</v>
      </c>
      <c r="BD49" s="872"/>
      <c r="BE49" s="875">
        <v>0.1</v>
      </c>
      <c r="BF49" s="858">
        <v>0</v>
      </c>
      <c r="BG49" s="872">
        <v>0</v>
      </c>
      <c r="BH49" s="872">
        <v>0</v>
      </c>
      <c r="BI49" s="874">
        <v>0.1</v>
      </c>
      <c r="BJ49" s="872"/>
      <c r="BK49" s="875">
        <v>0</v>
      </c>
      <c r="BL49" s="858">
        <v>0</v>
      </c>
      <c r="BM49" s="872">
        <v>0</v>
      </c>
      <c r="BN49" s="872">
        <v>0</v>
      </c>
      <c r="BO49" s="874">
        <v>0.1</v>
      </c>
      <c r="BP49" s="872"/>
      <c r="BQ49" s="875">
        <v>0</v>
      </c>
      <c r="BR49" s="858">
        <v>0</v>
      </c>
      <c r="BS49" s="872">
        <v>0</v>
      </c>
      <c r="BT49" s="872">
        <v>0</v>
      </c>
      <c r="BU49" s="874">
        <v>0.1</v>
      </c>
      <c r="BV49" s="872"/>
      <c r="BW49" s="875">
        <v>0</v>
      </c>
      <c r="BX49" s="858">
        <v>0</v>
      </c>
      <c r="BY49" s="872">
        <v>0</v>
      </c>
      <c r="BZ49" s="872">
        <v>0</v>
      </c>
      <c r="CA49" s="874">
        <v>0.1</v>
      </c>
      <c r="CB49" s="872"/>
      <c r="CC49" s="875">
        <v>0</v>
      </c>
      <c r="CD49" s="858">
        <v>0</v>
      </c>
      <c r="CE49" s="872">
        <v>0</v>
      </c>
      <c r="CF49" s="872">
        <v>0</v>
      </c>
      <c r="CG49" s="874">
        <v>0.1</v>
      </c>
      <c r="CH49" s="872"/>
      <c r="CI49" s="874">
        <v>0</v>
      </c>
      <c r="CJ49" s="858">
        <v>0</v>
      </c>
      <c r="CK49" s="872">
        <v>0</v>
      </c>
      <c r="CL49" s="872">
        <v>0</v>
      </c>
      <c r="CM49" s="874">
        <v>0.1</v>
      </c>
      <c r="CN49" s="872"/>
      <c r="CO49" s="875">
        <v>0</v>
      </c>
      <c r="CP49" s="858">
        <v>0</v>
      </c>
      <c r="CQ49" s="872">
        <v>0</v>
      </c>
      <c r="CR49" s="872">
        <v>0</v>
      </c>
      <c r="CS49" s="874">
        <v>0.1</v>
      </c>
      <c r="CT49" s="858" t="s">
        <v>1441</v>
      </c>
      <c r="CU49" s="875">
        <v>0.9</v>
      </c>
      <c r="CV49" s="858">
        <v>0</v>
      </c>
      <c r="CW49" s="872">
        <v>0</v>
      </c>
      <c r="CX49" s="872">
        <v>0</v>
      </c>
      <c r="CY49" s="874">
        <v>1</v>
      </c>
      <c r="CZ49" s="872"/>
      <c r="DA49" s="875">
        <v>0</v>
      </c>
      <c r="DB49" s="858">
        <v>0</v>
      </c>
      <c r="DC49" s="872">
        <v>0</v>
      </c>
      <c r="DD49" s="872">
        <v>0</v>
      </c>
      <c r="DE49" s="874">
        <v>1</v>
      </c>
      <c r="DF49" s="858" t="s">
        <v>1442</v>
      </c>
      <c r="DG49" s="875"/>
      <c r="DH49" s="858">
        <v>0</v>
      </c>
      <c r="DI49" s="872">
        <v>0</v>
      </c>
      <c r="DJ49" s="872">
        <v>0</v>
      </c>
      <c r="DK49" s="874">
        <v>1</v>
      </c>
      <c r="DL49" s="858" t="s">
        <v>1443</v>
      </c>
      <c r="DM49" s="875">
        <v>0</v>
      </c>
      <c r="DN49" s="858">
        <v>0</v>
      </c>
      <c r="DO49" s="872">
        <v>0</v>
      </c>
      <c r="DP49" s="872">
        <v>0</v>
      </c>
      <c r="DQ49" s="872">
        <v>0</v>
      </c>
    </row>
    <row r="50" s="861" customFormat="1" ht="14.25" customHeight="1" spans="1:121">
      <c r="A50" s="852">
        <v>48</v>
      </c>
      <c r="B50" s="853" t="s">
        <v>1354</v>
      </c>
      <c r="C50" s="853" t="s">
        <v>1366</v>
      </c>
      <c r="D50" s="873" t="s">
        <v>1373</v>
      </c>
      <c r="E50" s="869">
        <v>101.79117</v>
      </c>
      <c r="F50" s="870">
        <v>0.17</v>
      </c>
      <c r="G50" s="874">
        <v>0</v>
      </c>
      <c r="H50" s="872"/>
      <c r="I50" s="875">
        <v>0</v>
      </c>
      <c r="J50" s="858">
        <v>0</v>
      </c>
      <c r="K50" s="872">
        <v>0</v>
      </c>
      <c r="L50" s="872">
        <v>0</v>
      </c>
      <c r="M50" s="874">
        <v>0</v>
      </c>
      <c r="N50" s="872"/>
      <c r="O50" s="875">
        <v>0</v>
      </c>
      <c r="P50" s="858">
        <v>0</v>
      </c>
      <c r="Q50" s="872">
        <v>0</v>
      </c>
      <c r="R50" s="872">
        <v>0</v>
      </c>
      <c r="S50" s="874">
        <v>0</v>
      </c>
      <c r="T50" s="872"/>
      <c r="U50" s="875">
        <v>0</v>
      </c>
      <c r="V50" s="858">
        <v>0</v>
      </c>
      <c r="W50" s="872">
        <v>0</v>
      </c>
      <c r="X50" s="872">
        <v>0</v>
      </c>
      <c r="Y50" s="874">
        <v>0</v>
      </c>
      <c r="Z50" s="872"/>
      <c r="AA50" s="875">
        <v>0</v>
      </c>
      <c r="AB50" s="858">
        <v>0</v>
      </c>
      <c r="AC50" s="872">
        <v>0</v>
      </c>
      <c r="AD50" s="872">
        <v>0</v>
      </c>
      <c r="AE50" s="874">
        <v>0</v>
      </c>
      <c r="AF50" s="872"/>
      <c r="AG50" s="875">
        <v>0</v>
      </c>
      <c r="AH50" s="858">
        <v>0</v>
      </c>
      <c r="AI50" s="872">
        <v>0</v>
      </c>
      <c r="AJ50" s="872">
        <v>0</v>
      </c>
      <c r="AK50" s="874">
        <v>0</v>
      </c>
      <c r="AL50" s="872"/>
      <c r="AM50" s="875">
        <v>0</v>
      </c>
      <c r="AN50" s="858">
        <v>0</v>
      </c>
      <c r="AO50" s="872">
        <v>0</v>
      </c>
      <c r="AP50" s="872">
        <v>0</v>
      </c>
      <c r="AQ50" s="874">
        <v>0</v>
      </c>
      <c r="AR50" s="872"/>
      <c r="AS50" s="875">
        <v>0</v>
      </c>
      <c r="AT50" s="858">
        <v>0</v>
      </c>
      <c r="AU50" s="872">
        <v>0</v>
      </c>
      <c r="AV50" s="872">
        <v>0</v>
      </c>
      <c r="AW50" s="874">
        <v>0</v>
      </c>
      <c r="AX50" s="858" t="s">
        <v>1441</v>
      </c>
      <c r="AY50" s="875">
        <v>0</v>
      </c>
      <c r="AZ50" s="858">
        <v>0</v>
      </c>
      <c r="BA50" s="872">
        <v>0</v>
      </c>
      <c r="BB50" s="872">
        <v>0</v>
      </c>
      <c r="BC50" s="874">
        <v>0</v>
      </c>
      <c r="BD50" s="872"/>
      <c r="BE50" s="875">
        <v>0.1</v>
      </c>
      <c r="BF50" s="858">
        <v>10.179117</v>
      </c>
      <c r="BG50" s="872">
        <v>8.7001</v>
      </c>
      <c r="BH50" s="872">
        <v>1.479017</v>
      </c>
      <c r="BI50" s="874">
        <v>0.1</v>
      </c>
      <c r="BJ50" s="872"/>
      <c r="BK50" s="875">
        <v>0</v>
      </c>
      <c r="BL50" s="858">
        <v>0</v>
      </c>
      <c r="BM50" s="872">
        <v>0</v>
      </c>
      <c r="BN50" s="872">
        <v>0</v>
      </c>
      <c r="BO50" s="874">
        <v>0.1</v>
      </c>
      <c r="BP50" s="872"/>
      <c r="BQ50" s="875">
        <v>0</v>
      </c>
      <c r="BR50" s="858">
        <v>0</v>
      </c>
      <c r="BS50" s="872">
        <v>0</v>
      </c>
      <c r="BT50" s="872">
        <v>0</v>
      </c>
      <c r="BU50" s="874">
        <v>0.1</v>
      </c>
      <c r="BV50" s="872"/>
      <c r="BW50" s="875">
        <v>0</v>
      </c>
      <c r="BX50" s="858">
        <v>0</v>
      </c>
      <c r="BY50" s="872">
        <v>0</v>
      </c>
      <c r="BZ50" s="872">
        <v>0</v>
      </c>
      <c r="CA50" s="874">
        <v>0.1</v>
      </c>
      <c r="CB50" s="872"/>
      <c r="CC50" s="875">
        <v>0</v>
      </c>
      <c r="CD50" s="858">
        <v>0</v>
      </c>
      <c r="CE50" s="872">
        <v>0</v>
      </c>
      <c r="CF50" s="872">
        <v>0</v>
      </c>
      <c r="CG50" s="874">
        <v>0.1</v>
      </c>
      <c r="CH50" s="872"/>
      <c r="CI50" s="874">
        <v>0</v>
      </c>
      <c r="CJ50" s="858">
        <v>0</v>
      </c>
      <c r="CK50" s="872">
        <v>0</v>
      </c>
      <c r="CL50" s="872">
        <v>0</v>
      </c>
      <c r="CM50" s="874">
        <v>0.1</v>
      </c>
      <c r="CN50" s="872"/>
      <c r="CO50" s="875">
        <v>0</v>
      </c>
      <c r="CP50" s="858">
        <v>0</v>
      </c>
      <c r="CQ50" s="872">
        <v>0</v>
      </c>
      <c r="CR50" s="872">
        <v>0</v>
      </c>
      <c r="CS50" s="874">
        <v>0.1</v>
      </c>
      <c r="CT50" s="858" t="s">
        <v>1441</v>
      </c>
      <c r="CU50" s="875">
        <v>0.9</v>
      </c>
      <c r="CV50" s="858">
        <v>91.612053</v>
      </c>
      <c r="CW50" s="872">
        <v>78.3009</v>
      </c>
      <c r="CX50" s="872">
        <v>13.311153</v>
      </c>
      <c r="CY50" s="874">
        <v>1</v>
      </c>
      <c r="CZ50" s="872"/>
      <c r="DA50" s="875">
        <v>0</v>
      </c>
      <c r="DB50" s="858">
        <v>0</v>
      </c>
      <c r="DC50" s="872">
        <v>0</v>
      </c>
      <c r="DD50" s="872">
        <v>0</v>
      </c>
      <c r="DE50" s="874">
        <v>1</v>
      </c>
      <c r="DF50" s="858" t="s">
        <v>1442</v>
      </c>
      <c r="DG50" s="875"/>
      <c r="DH50" s="858">
        <v>0</v>
      </c>
      <c r="DI50" s="872">
        <v>0</v>
      </c>
      <c r="DJ50" s="872">
        <v>0</v>
      </c>
      <c r="DK50" s="874">
        <v>1</v>
      </c>
      <c r="DL50" s="858" t="s">
        <v>1443</v>
      </c>
      <c r="DM50" s="875">
        <v>0</v>
      </c>
      <c r="DN50" s="858">
        <v>0</v>
      </c>
      <c r="DO50" s="872">
        <v>0</v>
      </c>
      <c r="DP50" s="872">
        <v>0</v>
      </c>
      <c r="DQ50" s="872">
        <v>0</v>
      </c>
    </row>
    <row r="51" s="861" customFormat="1" ht="14.25" customHeight="1" spans="1:121">
      <c r="A51" s="852">
        <v>49</v>
      </c>
      <c r="B51" s="853" t="s">
        <v>1354</v>
      </c>
      <c r="C51" s="853" t="s">
        <v>1366</v>
      </c>
      <c r="D51" s="873" t="s">
        <v>1374</v>
      </c>
      <c r="E51" s="869">
        <v>0</v>
      </c>
      <c r="F51" s="870">
        <v>0.17</v>
      </c>
      <c r="G51" s="874">
        <v>0</v>
      </c>
      <c r="H51" s="872"/>
      <c r="I51" s="875">
        <v>0</v>
      </c>
      <c r="J51" s="858">
        <v>0</v>
      </c>
      <c r="K51" s="872">
        <v>0</v>
      </c>
      <c r="L51" s="872">
        <v>0</v>
      </c>
      <c r="M51" s="874">
        <v>0</v>
      </c>
      <c r="N51" s="872"/>
      <c r="O51" s="875">
        <v>0</v>
      </c>
      <c r="P51" s="858">
        <v>0</v>
      </c>
      <c r="Q51" s="872">
        <v>0</v>
      </c>
      <c r="R51" s="872">
        <v>0</v>
      </c>
      <c r="S51" s="874">
        <v>0</v>
      </c>
      <c r="T51" s="872"/>
      <c r="U51" s="875">
        <v>0</v>
      </c>
      <c r="V51" s="858">
        <v>0</v>
      </c>
      <c r="W51" s="872">
        <v>0</v>
      </c>
      <c r="X51" s="872">
        <v>0</v>
      </c>
      <c r="Y51" s="874">
        <v>0</v>
      </c>
      <c r="Z51" s="872"/>
      <c r="AA51" s="875">
        <v>0</v>
      </c>
      <c r="AB51" s="858">
        <v>0</v>
      </c>
      <c r="AC51" s="872">
        <v>0</v>
      </c>
      <c r="AD51" s="872">
        <v>0</v>
      </c>
      <c r="AE51" s="874">
        <v>0</v>
      </c>
      <c r="AF51" s="872"/>
      <c r="AG51" s="875">
        <v>0</v>
      </c>
      <c r="AH51" s="858">
        <v>0</v>
      </c>
      <c r="AI51" s="872">
        <v>0</v>
      </c>
      <c r="AJ51" s="872">
        <v>0</v>
      </c>
      <c r="AK51" s="874">
        <v>0</v>
      </c>
      <c r="AL51" s="872"/>
      <c r="AM51" s="875">
        <v>0</v>
      </c>
      <c r="AN51" s="858">
        <v>0</v>
      </c>
      <c r="AO51" s="872">
        <v>0</v>
      </c>
      <c r="AP51" s="872">
        <v>0</v>
      </c>
      <c r="AQ51" s="874">
        <v>0</v>
      </c>
      <c r="AR51" s="872"/>
      <c r="AS51" s="875">
        <v>0</v>
      </c>
      <c r="AT51" s="858">
        <v>0</v>
      </c>
      <c r="AU51" s="872">
        <v>0</v>
      </c>
      <c r="AV51" s="872">
        <v>0</v>
      </c>
      <c r="AW51" s="874">
        <v>0</v>
      </c>
      <c r="AX51" s="858" t="s">
        <v>1441</v>
      </c>
      <c r="AY51" s="875">
        <v>0</v>
      </c>
      <c r="AZ51" s="858">
        <v>0</v>
      </c>
      <c r="BA51" s="872">
        <v>0</v>
      </c>
      <c r="BB51" s="872">
        <v>0</v>
      </c>
      <c r="BC51" s="874">
        <v>0</v>
      </c>
      <c r="BD51" s="872"/>
      <c r="BE51" s="875">
        <v>0.1</v>
      </c>
      <c r="BF51" s="858">
        <v>0</v>
      </c>
      <c r="BG51" s="872">
        <v>0</v>
      </c>
      <c r="BH51" s="872">
        <v>0</v>
      </c>
      <c r="BI51" s="874">
        <v>0.1</v>
      </c>
      <c r="BJ51" s="872"/>
      <c r="BK51" s="875">
        <v>0</v>
      </c>
      <c r="BL51" s="858">
        <v>0</v>
      </c>
      <c r="BM51" s="872">
        <v>0</v>
      </c>
      <c r="BN51" s="872">
        <v>0</v>
      </c>
      <c r="BO51" s="874">
        <v>0.1</v>
      </c>
      <c r="BP51" s="872"/>
      <c r="BQ51" s="875">
        <v>0</v>
      </c>
      <c r="BR51" s="858">
        <v>0</v>
      </c>
      <c r="BS51" s="872">
        <v>0</v>
      </c>
      <c r="BT51" s="872">
        <v>0</v>
      </c>
      <c r="BU51" s="874">
        <v>0.1</v>
      </c>
      <c r="BV51" s="872"/>
      <c r="BW51" s="875">
        <v>0</v>
      </c>
      <c r="BX51" s="858">
        <v>0</v>
      </c>
      <c r="BY51" s="872">
        <v>0</v>
      </c>
      <c r="BZ51" s="872">
        <v>0</v>
      </c>
      <c r="CA51" s="874">
        <v>0.1</v>
      </c>
      <c r="CB51" s="872"/>
      <c r="CC51" s="875">
        <v>0</v>
      </c>
      <c r="CD51" s="858">
        <v>0</v>
      </c>
      <c r="CE51" s="872">
        <v>0</v>
      </c>
      <c r="CF51" s="872">
        <v>0</v>
      </c>
      <c r="CG51" s="874">
        <v>0.1</v>
      </c>
      <c r="CH51" s="872"/>
      <c r="CI51" s="874">
        <v>0</v>
      </c>
      <c r="CJ51" s="858">
        <v>0</v>
      </c>
      <c r="CK51" s="872">
        <v>0</v>
      </c>
      <c r="CL51" s="872">
        <v>0</v>
      </c>
      <c r="CM51" s="874">
        <v>0.1</v>
      </c>
      <c r="CN51" s="872"/>
      <c r="CO51" s="875">
        <v>0</v>
      </c>
      <c r="CP51" s="858">
        <v>0</v>
      </c>
      <c r="CQ51" s="872">
        <v>0</v>
      </c>
      <c r="CR51" s="872">
        <v>0</v>
      </c>
      <c r="CS51" s="874">
        <v>0.1</v>
      </c>
      <c r="CT51" s="858" t="s">
        <v>1441</v>
      </c>
      <c r="CU51" s="875">
        <v>0.9</v>
      </c>
      <c r="CV51" s="858">
        <v>0</v>
      </c>
      <c r="CW51" s="872">
        <v>0</v>
      </c>
      <c r="CX51" s="872">
        <v>0</v>
      </c>
      <c r="CY51" s="874">
        <v>1</v>
      </c>
      <c r="CZ51" s="872"/>
      <c r="DA51" s="875">
        <v>0</v>
      </c>
      <c r="DB51" s="858">
        <v>0</v>
      </c>
      <c r="DC51" s="872">
        <v>0</v>
      </c>
      <c r="DD51" s="872">
        <v>0</v>
      </c>
      <c r="DE51" s="874">
        <v>1</v>
      </c>
      <c r="DF51" s="858" t="s">
        <v>1442</v>
      </c>
      <c r="DG51" s="875"/>
      <c r="DH51" s="858">
        <v>0</v>
      </c>
      <c r="DI51" s="872">
        <v>0</v>
      </c>
      <c r="DJ51" s="872">
        <v>0</v>
      </c>
      <c r="DK51" s="874">
        <v>1</v>
      </c>
      <c r="DL51" s="858" t="s">
        <v>1443</v>
      </c>
      <c r="DM51" s="875">
        <v>0</v>
      </c>
      <c r="DN51" s="858">
        <v>0</v>
      </c>
      <c r="DO51" s="872">
        <v>0</v>
      </c>
      <c r="DP51" s="872">
        <v>0</v>
      </c>
      <c r="DQ51" s="872">
        <v>0</v>
      </c>
    </row>
    <row r="52" s="861" customFormat="1" ht="14.25" customHeight="1" spans="1:121">
      <c r="A52" s="852">
        <v>50</v>
      </c>
      <c r="B52" s="853" t="s">
        <v>1354</v>
      </c>
      <c r="C52" s="853" t="s">
        <v>1366</v>
      </c>
      <c r="D52" s="873" t="s">
        <v>1375</v>
      </c>
      <c r="E52" s="869">
        <v>87.6096</v>
      </c>
      <c r="F52" s="870">
        <v>0.17</v>
      </c>
      <c r="G52" s="874">
        <v>0</v>
      </c>
      <c r="H52" s="872"/>
      <c r="I52" s="875">
        <v>0</v>
      </c>
      <c r="J52" s="858">
        <v>0</v>
      </c>
      <c r="K52" s="872">
        <v>0</v>
      </c>
      <c r="L52" s="872">
        <v>0</v>
      </c>
      <c r="M52" s="874">
        <v>0</v>
      </c>
      <c r="N52" s="872"/>
      <c r="O52" s="875">
        <v>0</v>
      </c>
      <c r="P52" s="858">
        <v>0</v>
      </c>
      <c r="Q52" s="872">
        <v>0</v>
      </c>
      <c r="R52" s="872">
        <v>0</v>
      </c>
      <c r="S52" s="874">
        <v>0</v>
      </c>
      <c r="T52" s="872"/>
      <c r="U52" s="875">
        <v>0</v>
      </c>
      <c r="V52" s="858">
        <v>0</v>
      </c>
      <c r="W52" s="872">
        <v>0</v>
      </c>
      <c r="X52" s="872">
        <v>0</v>
      </c>
      <c r="Y52" s="874">
        <v>0</v>
      </c>
      <c r="Z52" s="872"/>
      <c r="AA52" s="875">
        <v>0</v>
      </c>
      <c r="AB52" s="858">
        <v>0</v>
      </c>
      <c r="AC52" s="872">
        <v>0</v>
      </c>
      <c r="AD52" s="872">
        <v>0</v>
      </c>
      <c r="AE52" s="874">
        <v>0</v>
      </c>
      <c r="AF52" s="872"/>
      <c r="AG52" s="875">
        <v>0</v>
      </c>
      <c r="AH52" s="858">
        <v>0</v>
      </c>
      <c r="AI52" s="872">
        <v>0</v>
      </c>
      <c r="AJ52" s="872">
        <v>0</v>
      </c>
      <c r="AK52" s="874">
        <v>0</v>
      </c>
      <c r="AL52" s="872"/>
      <c r="AM52" s="875">
        <v>0</v>
      </c>
      <c r="AN52" s="858">
        <v>0</v>
      </c>
      <c r="AO52" s="872">
        <v>0</v>
      </c>
      <c r="AP52" s="872">
        <v>0</v>
      </c>
      <c r="AQ52" s="874">
        <v>0</v>
      </c>
      <c r="AR52" s="872"/>
      <c r="AS52" s="875">
        <v>0</v>
      </c>
      <c r="AT52" s="858">
        <v>0</v>
      </c>
      <c r="AU52" s="872">
        <v>0</v>
      </c>
      <c r="AV52" s="872">
        <v>0</v>
      </c>
      <c r="AW52" s="874">
        <v>0</v>
      </c>
      <c r="AX52" s="858" t="s">
        <v>1441</v>
      </c>
      <c r="AY52" s="875">
        <v>0</v>
      </c>
      <c r="AZ52" s="858">
        <v>0</v>
      </c>
      <c r="BA52" s="872">
        <v>0</v>
      </c>
      <c r="BB52" s="872">
        <v>0</v>
      </c>
      <c r="BC52" s="874">
        <v>0</v>
      </c>
      <c r="BD52" s="872"/>
      <c r="BE52" s="875">
        <v>0.1</v>
      </c>
      <c r="BF52" s="858">
        <v>8.76096</v>
      </c>
      <c r="BG52" s="872">
        <v>7.488</v>
      </c>
      <c r="BH52" s="872">
        <v>1.27296</v>
      </c>
      <c r="BI52" s="874">
        <v>0.1</v>
      </c>
      <c r="BJ52" s="872"/>
      <c r="BK52" s="875">
        <v>0</v>
      </c>
      <c r="BL52" s="858">
        <v>0</v>
      </c>
      <c r="BM52" s="872">
        <v>0</v>
      </c>
      <c r="BN52" s="872">
        <v>0</v>
      </c>
      <c r="BO52" s="874">
        <v>0.1</v>
      </c>
      <c r="BP52" s="872"/>
      <c r="BQ52" s="875">
        <v>0</v>
      </c>
      <c r="BR52" s="858">
        <v>0</v>
      </c>
      <c r="BS52" s="872">
        <v>0</v>
      </c>
      <c r="BT52" s="872">
        <v>0</v>
      </c>
      <c r="BU52" s="874">
        <v>0.1</v>
      </c>
      <c r="BV52" s="872"/>
      <c r="BW52" s="875">
        <v>0</v>
      </c>
      <c r="BX52" s="858">
        <v>0</v>
      </c>
      <c r="BY52" s="872">
        <v>0</v>
      </c>
      <c r="BZ52" s="872">
        <v>0</v>
      </c>
      <c r="CA52" s="874">
        <v>0.1</v>
      </c>
      <c r="CB52" s="872"/>
      <c r="CC52" s="875">
        <v>0</v>
      </c>
      <c r="CD52" s="858">
        <v>0</v>
      </c>
      <c r="CE52" s="872">
        <v>0</v>
      </c>
      <c r="CF52" s="872">
        <v>0</v>
      </c>
      <c r="CG52" s="874">
        <v>0.1</v>
      </c>
      <c r="CH52" s="872"/>
      <c r="CI52" s="874">
        <v>0</v>
      </c>
      <c r="CJ52" s="858">
        <v>0</v>
      </c>
      <c r="CK52" s="872">
        <v>0</v>
      </c>
      <c r="CL52" s="872">
        <v>0</v>
      </c>
      <c r="CM52" s="874">
        <v>0.1</v>
      </c>
      <c r="CN52" s="872"/>
      <c r="CO52" s="875">
        <v>0</v>
      </c>
      <c r="CP52" s="858">
        <v>0</v>
      </c>
      <c r="CQ52" s="872">
        <v>0</v>
      </c>
      <c r="CR52" s="872">
        <v>0</v>
      </c>
      <c r="CS52" s="874">
        <v>0.1</v>
      </c>
      <c r="CT52" s="858" t="s">
        <v>1441</v>
      </c>
      <c r="CU52" s="875">
        <v>0.9</v>
      </c>
      <c r="CV52" s="858">
        <v>78.84864</v>
      </c>
      <c r="CW52" s="872">
        <v>67.392</v>
      </c>
      <c r="CX52" s="872">
        <v>11.45664</v>
      </c>
      <c r="CY52" s="874">
        <v>1</v>
      </c>
      <c r="CZ52" s="872"/>
      <c r="DA52" s="875">
        <v>0</v>
      </c>
      <c r="DB52" s="858">
        <v>0</v>
      </c>
      <c r="DC52" s="872">
        <v>0</v>
      </c>
      <c r="DD52" s="872">
        <v>0</v>
      </c>
      <c r="DE52" s="874">
        <v>1</v>
      </c>
      <c r="DF52" s="858" t="s">
        <v>1442</v>
      </c>
      <c r="DG52" s="875"/>
      <c r="DH52" s="858">
        <v>0</v>
      </c>
      <c r="DI52" s="872">
        <v>0</v>
      </c>
      <c r="DJ52" s="872">
        <v>0</v>
      </c>
      <c r="DK52" s="874">
        <v>1</v>
      </c>
      <c r="DL52" s="858" t="s">
        <v>1443</v>
      </c>
      <c r="DM52" s="875">
        <v>0</v>
      </c>
      <c r="DN52" s="858">
        <v>0</v>
      </c>
      <c r="DO52" s="872">
        <v>0</v>
      </c>
      <c r="DP52" s="872">
        <v>0</v>
      </c>
      <c r="DQ52" s="872">
        <v>0</v>
      </c>
    </row>
    <row r="53" s="861" customFormat="1" ht="14.25" customHeight="1" spans="1:121">
      <c r="A53" s="852">
        <v>51</v>
      </c>
      <c r="B53" s="853" t="s">
        <v>1354</v>
      </c>
      <c r="C53" s="853" t="s">
        <v>1366</v>
      </c>
      <c r="D53" s="873" t="s">
        <v>1376</v>
      </c>
      <c r="E53" s="869">
        <v>317.5848</v>
      </c>
      <c r="F53" s="870">
        <v>0.17</v>
      </c>
      <c r="G53" s="874">
        <v>0</v>
      </c>
      <c r="H53" s="872"/>
      <c r="I53" s="875">
        <v>0</v>
      </c>
      <c r="J53" s="858">
        <v>0</v>
      </c>
      <c r="K53" s="872">
        <v>0</v>
      </c>
      <c r="L53" s="872">
        <v>0</v>
      </c>
      <c r="M53" s="874">
        <v>0</v>
      </c>
      <c r="N53" s="872"/>
      <c r="O53" s="875">
        <v>0</v>
      </c>
      <c r="P53" s="858">
        <v>0</v>
      </c>
      <c r="Q53" s="872">
        <v>0</v>
      </c>
      <c r="R53" s="872">
        <v>0</v>
      </c>
      <c r="S53" s="874">
        <v>0</v>
      </c>
      <c r="T53" s="872"/>
      <c r="U53" s="875">
        <v>0</v>
      </c>
      <c r="V53" s="858">
        <v>0</v>
      </c>
      <c r="W53" s="872">
        <v>0</v>
      </c>
      <c r="X53" s="872">
        <v>0</v>
      </c>
      <c r="Y53" s="874">
        <v>0</v>
      </c>
      <c r="Z53" s="872"/>
      <c r="AA53" s="875">
        <v>0</v>
      </c>
      <c r="AB53" s="858">
        <v>0</v>
      </c>
      <c r="AC53" s="872">
        <v>0</v>
      </c>
      <c r="AD53" s="872">
        <v>0</v>
      </c>
      <c r="AE53" s="874">
        <v>0</v>
      </c>
      <c r="AF53" s="872"/>
      <c r="AG53" s="875">
        <v>0</v>
      </c>
      <c r="AH53" s="858">
        <v>0</v>
      </c>
      <c r="AI53" s="872">
        <v>0</v>
      </c>
      <c r="AJ53" s="872">
        <v>0</v>
      </c>
      <c r="AK53" s="874">
        <v>0</v>
      </c>
      <c r="AL53" s="872"/>
      <c r="AM53" s="875">
        <v>0</v>
      </c>
      <c r="AN53" s="858">
        <v>0</v>
      </c>
      <c r="AO53" s="872">
        <v>0</v>
      </c>
      <c r="AP53" s="872">
        <v>0</v>
      </c>
      <c r="AQ53" s="874">
        <v>0</v>
      </c>
      <c r="AR53" s="872"/>
      <c r="AS53" s="875">
        <v>0</v>
      </c>
      <c r="AT53" s="858">
        <v>0</v>
      </c>
      <c r="AU53" s="872">
        <v>0</v>
      </c>
      <c r="AV53" s="872">
        <v>0</v>
      </c>
      <c r="AW53" s="874">
        <v>0</v>
      </c>
      <c r="AX53" s="858" t="s">
        <v>1441</v>
      </c>
      <c r="AY53" s="875">
        <v>0</v>
      </c>
      <c r="AZ53" s="858">
        <v>0</v>
      </c>
      <c r="BA53" s="872">
        <v>0</v>
      </c>
      <c r="BB53" s="872">
        <v>0</v>
      </c>
      <c r="BC53" s="874">
        <v>0</v>
      </c>
      <c r="BD53" s="872"/>
      <c r="BE53" s="875">
        <v>0.1</v>
      </c>
      <c r="BF53" s="858">
        <v>31.75848</v>
      </c>
      <c r="BG53" s="872">
        <v>27.144</v>
      </c>
      <c r="BH53" s="872">
        <v>4.61448</v>
      </c>
      <c r="BI53" s="874">
        <v>0.1</v>
      </c>
      <c r="BJ53" s="872"/>
      <c r="BK53" s="875">
        <v>0</v>
      </c>
      <c r="BL53" s="858">
        <v>0</v>
      </c>
      <c r="BM53" s="872">
        <v>0</v>
      </c>
      <c r="BN53" s="872">
        <v>0</v>
      </c>
      <c r="BO53" s="874">
        <v>0.1</v>
      </c>
      <c r="BP53" s="872"/>
      <c r="BQ53" s="875">
        <v>0</v>
      </c>
      <c r="BR53" s="858">
        <v>0</v>
      </c>
      <c r="BS53" s="872">
        <v>0</v>
      </c>
      <c r="BT53" s="872">
        <v>0</v>
      </c>
      <c r="BU53" s="874">
        <v>0.1</v>
      </c>
      <c r="BV53" s="872"/>
      <c r="BW53" s="875">
        <v>0</v>
      </c>
      <c r="BX53" s="858">
        <v>0</v>
      </c>
      <c r="BY53" s="872">
        <v>0</v>
      </c>
      <c r="BZ53" s="872">
        <v>0</v>
      </c>
      <c r="CA53" s="874">
        <v>0.1</v>
      </c>
      <c r="CB53" s="872"/>
      <c r="CC53" s="875">
        <v>0</v>
      </c>
      <c r="CD53" s="858">
        <v>0</v>
      </c>
      <c r="CE53" s="872">
        <v>0</v>
      </c>
      <c r="CF53" s="872">
        <v>0</v>
      </c>
      <c r="CG53" s="874">
        <v>0.1</v>
      </c>
      <c r="CH53" s="872"/>
      <c r="CI53" s="874">
        <v>0</v>
      </c>
      <c r="CJ53" s="858">
        <v>0</v>
      </c>
      <c r="CK53" s="872">
        <v>0</v>
      </c>
      <c r="CL53" s="872">
        <v>0</v>
      </c>
      <c r="CM53" s="874">
        <v>0.1</v>
      </c>
      <c r="CN53" s="872"/>
      <c r="CO53" s="875">
        <v>0</v>
      </c>
      <c r="CP53" s="858">
        <v>0</v>
      </c>
      <c r="CQ53" s="872">
        <v>0</v>
      </c>
      <c r="CR53" s="872">
        <v>0</v>
      </c>
      <c r="CS53" s="874">
        <v>0.1</v>
      </c>
      <c r="CT53" s="858" t="s">
        <v>1441</v>
      </c>
      <c r="CU53" s="875">
        <v>0.9</v>
      </c>
      <c r="CV53" s="858">
        <v>285.82632</v>
      </c>
      <c r="CW53" s="872">
        <v>244.296</v>
      </c>
      <c r="CX53" s="872">
        <v>41.53032</v>
      </c>
      <c r="CY53" s="874">
        <v>1</v>
      </c>
      <c r="CZ53" s="872"/>
      <c r="DA53" s="875">
        <v>0</v>
      </c>
      <c r="DB53" s="858">
        <v>0</v>
      </c>
      <c r="DC53" s="872">
        <v>0</v>
      </c>
      <c r="DD53" s="872">
        <v>0</v>
      </c>
      <c r="DE53" s="874">
        <v>1</v>
      </c>
      <c r="DF53" s="858" t="s">
        <v>1442</v>
      </c>
      <c r="DG53" s="875"/>
      <c r="DH53" s="858">
        <v>0</v>
      </c>
      <c r="DI53" s="872">
        <v>0</v>
      </c>
      <c r="DJ53" s="872">
        <v>0</v>
      </c>
      <c r="DK53" s="874">
        <v>1</v>
      </c>
      <c r="DL53" s="858" t="s">
        <v>1443</v>
      </c>
      <c r="DM53" s="875">
        <v>0</v>
      </c>
      <c r="DN53" s="858">
        <v>0</v>
      </c>
      <c r="DO53" s="872">
        <v>0</v>
      </c>
      <c r="DP53" s="872">
        <v>0</v>
      </c>
      <c r="DQ53" s="872">
        <v>0</v>
      </c>
    </row>
    <row r="54" s="861" customFormat="1" ht="14.25" customHeight="1" spans="1:121">
      <c r="A54" s="852">
        <v>52</v>
      </c>
      <c r="B54" s="853" t="s">
        <v>1354</v>
      </c>
      <c r="C54" s="853" t="s">
        <v>1349</v>
      </c>
      <c r="D54" s="873" t="s">
        <v>1377</v>
      </c>
      <c r="E54" s="869">
        <v>0</v>
      </c>
      <c r="F54" s="870">
        <v>0.17</v>
      </c>
      <c r="G54" s="874">
        <v>0</v>
      </c>
      <c r="H54" s="872"/>
      <c r="I54" s="875">
        <v>0</v>
      </c>
      <c r="J54" s="858">
        <v>0</v>
      </c>
      <c r="K54" s="872">
        <v>0</v>
      </c>
      <c r="L54" s="872">
        <v>0</v>
      </c>
      <c r="M54" s="874">
        <v>0</v>
      </c>
      <c r="N54" s="872"/>
      <c r="O54" s="875">
        <v>0</v>
      </c>
      <c r="P54" s="858">
        <v>0</v>
      </c>
      <c r="Q54" s="872">
        <v>0</v>
      </c>
      <c r="R54" s="872">
        <v>0</v>
      </c>
      <c r="S54" s="874">
        <v>0</v>
      </c>
      <c r="T54" s="872"/>
      <c r="U54" s="875">
        <v>0</v>
      </c>
      <c r="V54" s="858">
        <v>0</v>
      </c>
      <c r="W54" s="872">
        <v>0</v>
      </c>
      <c r="X54" s="872">
        <v>0</v>
      </c>
      <c r="Y54" s="874">
        <v>0</v>
      </c>
      <c r="Z54" s="872"/>
      <c r="AA54" s="875">
        <v>0</v>
      </c>
      <c r="AB54" s="858">
        <v>0</v>
      </c>
      <c r="AC54" s="872">
        <v>0</v>
      </c>
      <c r="AD54" s="872">
        <v>0</v>
      </c>
      <c r="AE54" s="874">
        <v>0</v>
      </c>
      <c r="AF54" s="872"/>
      <c r="AG54" s="875">
        <v>0</v>
      </c>
      <c r="AH54" s="858">
        <v>0</v>
      </c>
      <c r="AI54" s="872">
        <v>0</v>
      </c>
      <c r="AJ54" s="872">
        <v>0</v>
      </c>
      <c r="AK54" s="874">
        <v>0</v>
      </c>
      <c r="AL54" s="872"/>
      <c r="AM54" s="875">
        <v>0</v>
      </c>
      <c r="AN54" s="858">
        <v>0</v>
      </c>
      <c r="AO54" s="872">
        <v>0</v>
      </c>
      <c r="AP54" s="872">
        <v>0</v>
      </c>
      <c r="AQ54" s="874">
        <v>0</v>
      </c>
      <c r="AR54" s="872"/>
      <c r="AS54" s="875">
        <v>0</v>
      </c>
      <c r="AT54" s="858">
        <v>0</v>
      </c>
      <c r="AU54" s="872">
        <v>0</v>
      </c>
      <c r="AV54" s="872">
        <v>0</v>
      </c>
      <c r="AW54" s="874">
        <v>0</v>
      </c>
      <c r="AX54" s="858" t="s">
        <v>1441</v>
      </c>
      <c r="AY54" s="875">
        <v>0</v>
      </c>
      <c r="AZ54" s="858">
        <v>0</v>
      </c>
      <c r="BA54" s="872">
        <v>0</v>
      </c>
      <c r="BB54" s="872">
        <v>0</v>
      </c>
      <c r="BC54" s="874">
        <v>0</v>
      </c>
      <c r="BD54" s="872"/>
      <c r="BE54" s="875">
        <v>0.1</v>
      </c>
      <c r="BF54" s="858">
        <v>0</v>
      </c>
      <c r="BG54" s="872">
        <v>0</v>
      </c>
      <c r="BH54" s="872">
        <v>0</v>
      </c>
      <c r="BI54" s="874">
        <v>0.1</v>
      </c>
      <c r="BJ54" s="872"/>
      <c r="BK54" s="875">
        <v>0</v>
      </c>
      <c r="BL54" s="858">
        <v>0</v>
      </c>
      <c r="BM54" s="872">
        <v>0</v>
      </c>
      <c r="BN54" s="872">
        <v>0</v>
      </c>
      <c r="BO54" s="874">
        <v>0.1</v>
      </c>
      <c r="BP54" s="872"/>
      <c r="BQ54" s="875">
        <v>0</v>
      </c>
      <c r="BR54" s="858">
        <v>0</v>
      </c>
      <c r="BS54" s="872">
        <v>0</v>
      </c>
      <c r="BT54" s="872">
        <v>0</v>
      </c>
      <c r="BU54" s="874">
        <v>0.1</v>
      </c>
      <c r="BV54" s="872"/>
      <c r="BW54" s="875">
        <v>0</v>
      </c>
      <c r="BX54" s="858">
        <v>0</v>
      </c>
      <c r="BY54" s="872">
        <v>0</v>
      </c>
      <c r="BZ54" s="872">
        <v>0</v>
      </c>
      <c r="CA54" s="874">
        <v>0.1</v>
      </c>
      <c r="CB54" s="872"/>
      <c r="CC54" s="875">
        <v>0</v>
      </c>
      <c r="CD54" s="858">
        <v>0</v>
      </c>
      <c r="CE54" s="872">
        <v>0</v>
      </c>
      <c r="CF54" s="872">
        <v>0</v>
      </c>
      <c r="CG54" s="874">
        <v>0.1</v>
      </c>
      <c r="CH54" s="872"/>
      <c r="CI54" s="874">
        <v>0</v>
      </c>
      <c r="CJ54" s="858">
        <v>0</v>
      </c>
      <c r="CK54" s="872">
        <v>0</v>
      </c>
      <c r="CL54" s="872">
        <v>0</v>
      </c>
      <c r="CM54" s="874">
        <v>0.1</v>
      </c>
      <c r="CN54" s="872"/>
      <c r="CO54" s="875">
        <v>0</v>
      </c>
      <c r="CP54" s="858">
        <v>0</v>
      </c>
      <c r="CQ54" s="872">
        <v>0</v>
      </c>
      <c r="CR54" s="872">
        <v>0</v>
      </c>
      <c r="CS54" s="874">
        <v>0.1</v>
      </c>
      <c r="CT54" s="858" t="s">
        <v>1441</v>
      </c>
      <c r="CU54" s="875">
        <v>0.9</v>
      </c>
      <c r="CV54" s="858">
        <v>0</v>
      </c>
      <c r="CW54" s="872">
        <v>0</v>
      </c>
      <c r="CX54" s="872">
        <v>0</v>
      </c>
      <c r="CY54" s="874">
        <v>1</v>
      </c>
      <c r="CZ54" s="872"/>
      <c r="DA54" s="875">
        <v>0</v>
      </c>
      <c r="DB54" s="858">
        <v>0</v>
      </c>
      <c r="DC54" s="872">
        <v>0</v>
      </c>
      <c r="DD54" s="872">
        <v>0</v>
      </c>
      <c r="DE54" s="874">
        <v>1</v>
      </c>
      <c r="DF54" s="858" t="s">
        <v>1442</v>
      </c>
      <c r="DG54" s="875"/>
      <c r="DH54" s="858">
        <v>0</v>
      </c>
      <c r="DI54" s="872">
        <v>0</v>
      </c>
      <c r="DJ54" s="872">
        <v>0</v>
      </c>
      <c r="DK54" s="874">
        <v>1</v>
      </c>
      <c r="DL54" s="858" t="s">
        <v>1443</v>
      </c>
      <c r="DM54" s="875">
        <v>0</v>
      </c>
      <c r="DN54" s="858">
        <v>0</v>
      </c>
      <c r="DO54" s="872">
        <v>0</v>
      </c>
      <c r="DP54" s="872">
        <v>0</v>
      </c>
      <c r="DQ54" s="872">
        <v>0</v>
      </c>
    </row>
    <row r="55" s="861" customFormat="1" ht="14.25" customHeight="1" spans="1:121">
      <c r="A55" s="852">
        <v>53</v>
      </c>
      <c r="B55" s="853" t="s">
        <v>1345</v>
      </c>
      <c r="C55" s="853" t="s">
        <v>1351</v>
      </c>
      <c r="D55" s="873" t="s">
        <v>1378</v>
      </c>
      <c r="E55" s="869">
        <v>0</v>
      </c>
      <c r="F55" s="870">
        <v>0.11</v>
      </c>
      <c r="G55" s="874">
        <v>0</v>
      </c>
      <c r="H55" s="872"/>
      <c r="I55" s="875">
        <v>0</v>
      </c>
      <c r="J55" s="858">
        <v>0</v>
      </c>
      <c r="K55" s="872">
        <v>0</v>
      </c>
      <c r="L55" s="872">
        <v>0</v>
      </c>
      <c r="M55" s="874">
        <v>0</v>
      </c>
      <c r="N55" s="872"/>
      <c r="O55" s="875">
        <v>0</v>
      </c>
      <c r="P55" s="858">
        <v>0</v>
      </c>
      <c r="Q55" s="872">
        <v>0</v>
      </c>
      <c r="R55" s="872">
        <v>0</v>
      </c>
      <c r="S55" s="874">
        <v>0</v>
      </c>
      <c r="T55" s="872"/>
      <c r="U55" s="875">
        <v>0</v>
      </c>
      <c r="V55" s="858">
        <v>0</v>
      </c>
      <c r="W55" s="872">
        <v>0</v>
      </c>
      <c r="X55" s="872">
        <v>0</v>
      </c>
      <c r="Y55" s="874">
        <v>0</v>
      </c>
      <c r="Z55" s="872"/>
      <c r="AA55" s="875">
        <v>0</v>
      </c>
      <c r="AB55" s="858">
        <v>0</v>
      </c>
      <c r="AC55" s="872">
        <v>0</v>
      </c>
      <c r="AD55" s="872">
        <v>0</v>
      </c>
      <c r="AE55" s="874">
        <v>0</v>
      </c>
      <c r="AF55" s="872"/>
      <c r="AG55" s="875">
        <v>0</v>
      </c>
      <c r="AH55" s="858">
        <v>0</v>
      </c>
      <c r="AI55" s="872">
        <v>0</v>
      </c>
      <c r="AJ55" s="872">
        <v>0</v>
      </c>
      <c r="AK55" s="874">
        <v>0</v>
      </c>
      <c r="AL55" s="872"/>
      <c r="AM55" s="875">
        <v>0</v>
      </c>
      <c r="AN55" s="858">
        <v>0</v>
      </c>
      <c r="AO55" s="872">
        <v>0</v>
      </c>
      <c r="AP55" s="872">
        <v>0</v>
      </c>
      <c r="AQ55" s="874">
        <v>0</v>
      </c>
      <c r="AR55" s="858" t="s">
        <v>1441</v>
      </c>
      <c r="AS55" s="875">
        <v>0</v>
      </c>
      <c r="AT55" s="858">
        <v>0</v>
      </c>
      <c r="AU55" s="872">
        <v>0</v>
      </c>
      <c r="AV55" s="872">
        <v>0</v>
      </c>
      <c r="AW55" s="874">
        <v>0</v>
      </c>
      <c r="AX55" s="858" t="s">
        <v>1441</v>
      </c>
      <c r="AY55" s="875">
        <v>0.4</v>
      </c>
      <c r="AZ55" s="858">
        <v>0</v>
      </c>
      <c r="BA55" s="872">
        <v>0</v>
      </c>
      <c r="BB55" s="872">
        <v>0</v>
      </c>
      <c r="BC55" s="874">
        <v>0.4</v>
      </c>
      <c r="BD55" s="858" t="s">
        <v>1441</v>
      </c>
      <c r="BE55" s="875">
        <v>0.45</v>
      </c>
      <c r="BF55" s="858">
        <v>0</v>
      </c>
      <c r="BG55" s="872">
        <v>0</v>
      </c>
      <c r="BH55" s="872">
        <v>0</v>
      </c>
      <c r="BI55" s="874">
        <v>0.85</v>
      </c>
      <c r="BJ55" s="872"/>
      <c r="BK55" s="875">
        <v>0</v>
      </c>
      <c r="BL55" s="858">
        <v>0</v>
      </c>
      <c r="BM55" s="872">
        <v>0</v>
      </c>
      <c r="BN55" s="872">
        <v>0</v>
      </c>
      <c r="BO55" s="874">
        <v>0.85</v>
      </c>
      <c r="BP55" s="872"/>
      <c r="BQ55" s="875">
        <v>0</v>
      </c>
      <c r="BR55" s="858">
        <v>0</v>
      </c>
      <c r="BS55" s="872">
        <v>0</v>
      </c>
      <c r="BT55" s="872">
        <v>0</v>
      </c>
      <c r="BU55" s="874">
        <v>0.85</v>
      </c>
      <c r="BV55" s="872"/>
      <c r="BW55" s="875">
        <v>0</v>
      </c>
      <c r="BX55" s="858">
        <v>0</v>
      </c>
      <c r="BY55" s="872">
        <v>0</v>
      </c>
      <c r="BZ55" s="872">
        <v>0</v>
      </c>
      <c r="CA55" s="874">
        <v>0.85</v>
      </c>
      <c r="CB55" s="872"/>
      <c r="CC55" s="875">
        <v>0</v>
      </c>
      <c r="CD55" s="858">
        <v>0</v>
      </c>
      <c r="CE55" s="872">
        <v>0</v>
      </c>
      <c r="CF55" s="872">
        <v>0</v>
      </c>
      <c r="CG55" s="874">
        <v>0.85</v>
      </c>
      <c r="CH55" s="872"/>
      <c r="CI55" s="874">
        <v>0</v>
      </c>
      <c r="CJ55" s="858">
        <v>0</v>
      </c>
      <c r="CK55" s="872">
        <v>0</v>
      </c>
      <c r="CL55" s="872">
        <v>0</v>
      </c>
      <c r="CM55" s="874">
        <v>0.85</v>
      </c>
      <c r="CN55" s="872"/>
      <c r="CO55" s="875">
        <v>0</v>
      </c>
      <c r="CP55" s="858">
        <v>0</v>
      </c>
      <c r="CQ55" s="872">
        <v>0</v>
      </c>
      <c r="CR55" s="872">
        <v>0</v>
      </c>
      <c r="CS55" s="874">
        <v>0.85</v>
      </c>
      <c r="CT55" s="872"/>
      <c r="CU55" s="875">
        <v>0</v>
      </c>
      <c r="CV55" s="858">
        <v>0</v>
      </c>
      <c r="CW55" s="872">
        <v>0</v>
      </c>
      <c r="CX55" s="872">
        <v>0</v>
      </c>
      <c r="CY55" s="874">
        <v>0.85</v>
      </c>
      <c r="CZ55" s="872"/>
      <c r="DA55" s="875">
        <v>0</v>
      </c>
      <c r="DB55" s="858">
        <v>0</v>
      </c>
      <c r="DC55" s="872">
        <v>0</v>
      </c>
      <c r="DD55" s="872">
        <v>0</v>
      </c>
      <c r="DE55" s="874">
        <v>0.85</v>
      </c>
      <c r="DF55" s="858" t="s">
        <v>1442</v>
      </c>
      <c r="DG55" s="875">
        <v>0.1</v>
      </c>
      <c r="DH55" s="858">
        <v>0</v>
      </c>
      <c r="DI55" s="872">
        <v>0</v>
      </c>
      <c r="DJ55" s="872">
        <v>0</v>
      </c>
      <c r="DK55" s="874">
        <v>0.95</v>
      </c>
      <c r="DL55" s="858" t="s">
        <v>1443</v>
      </c>
      <c r="DM55" s="875">
        <v>0.05</v>
      </c>
      <c r="DN55" s="858">
        <v>0</v>
      </c>
      <c r="DO55" s="872">
        <v>0</v>
      </c>
      <c r="DP55" s="872">
        <v>0</v>
      </c>
      <c r="DQ55" s="872">
        <v>0</v>
      </c>
    </row>
    <row r="56" s="861" customFormat="1" ht="14.25" customHeight="1" spans="1:121">
      <c r="A56" s="852">
        <v>54</v>
      </c>
      <c r="B56" s="853" t="s">
        <v>1345</v>
      </c>
      <c r="C56" s="853" t="s">
        <v>1351</v>
      </c>
      <c r="D56" s="873" t="s">
        <v>1379</v>
      </c>
      <c r="E56" s="869">
        <v>0</v>
      </c>
      <c r="F56" s="870">
        <v>0.11</v>
      </c>
      <c r="G56" s="874">
        <v>0</v>
      </c>
      <c r="H56" s="872"/>
      <c r="I56" s="875">
        <v>0</v>
      </c>
      <c r="J56" s="858">
        <v>0</v>
      </c>
      <c r="K56" s="872">
        <v>0</v>
      </c>
      <c r="L56" s="872">
        <v>0</v>
      </c>
      <c r="M56" s="874">
        <v>0</v>
      </c>
      <c r="N56" s="872"/>
      <c r="O56" s="875">
        <v>0</v>
      </c>
      <c r="P56" s="858">
        <v>0</v>
      </c>
      <c r="Q56" s="872">
        <v>0</v>
      </c>
      <c r="R56" s="872">
        <v>0</v>
      </c>
      <c r="S56" s="874">
        <v>0</v>
      </c>
      <c r="T56" s="872"/>
      <c r="U56" s="875">
        <v>0</v>
      </c>
      <c r="V56" s="858">
        <v>0</v>
      </c>
      <c r="W56" s="872">
        <v>0</v>
      </c>
      <c r="X56" s="872">
        <v>0</v>
      </c>
      <c r="Y56" s="874">
        <v>0</v>
      </c>
      <c r="Z56" s="872"/>
      <c r="AA56" s="875">
        <v>0</v>
      </c>
      <c r="AB56" s="858">
        <v>0</v>
      </c>
      <c r="AC56" s="872">
        <v>0</v>
      </c>
      <c r="AD56" s="872">
        <v>0</v>
      </c>
      <c r="AE56" s="874">
        <v>0</v>
      </c>
      <c r="AF56" s="872"/>
      <c r="AG56" s="875">
        <v>0</v>
      </c>
      <c r="AH56" s="858">
        <v>0</v>
      </c>
      <c r="AI56" s="872">
        <v>0</v>
      </c>
      <c r="AJ56" s="872">
        <v>0</v>
      </c>
      <c r="AK56" s="874">
        <v>0</v>
      </c>
      <c r="AL56" s="872"/>
      <c r="AM56" s="875">
        <v>0</v>
      </c>
      <c r="AN56" s="858">
        <v>0</v>
      </c>
      <c r="AO56" s="872">
        <v>0</v>
      </c>
      <c r="AP56" s="872">
        <v>0</v>
      </c>
      <c r="AQ56" s="874">
        <v>0</v>
      </c>
      <c r="AR56" s="858" t="s">
        <v>1441</v>
      </c>
      <c r="AS56" s="875">
        <v>0.2</v>
      </c>
      <c r="AT56" s="858">
        <v>0</v>
      </c>
      <c r="AU56" s="872">
        <v>0</v>
      </c>
      <c r="AV56" s="872">
        <v>0</v>
      </c>
      <c r="AW56" s="874">
        <v>0.2</v>
      </c>
      <c r="AX56" s="858" t="s">
        <v>1441</v>
      </c>
      <c r="AY56" s="875">
        <v>0.2</v>
      </c>
      <c r="AZ56" s="858">
        <v>0</v>
      </c>
      <c r="BA56" s="872">
        <v>0</v>
      </c>
      <c r="BB56" s="872">
        <v>0</v>
      </c>
      <c r="BC56" s="874">
        <v>0.4</v>
      </c>
      <c r="BD56" s="858" t="s">
        <v>1441</v>
      </c>
      <c r="BE56" s="875">
        <v>0.2</v>
      </c>
      <c r="BF56" s="858">
        <v>0</v>
      </c>
      <c r="BG56" s="872">
        <v>0</v>
      </c>
      <c r="BH56" s="872">
        <v>0</v>
      </c>
      <c r="BI56" s="874">
        <v>0.6</v>
      </c>
      <c r="BJ56" s="872"/>
      <c r="BK56" s="875">
        <v>0</v>
      </c>
      <c r="BL56" s="858">
        <v>0</v>
      </c>
      <c r="BM56" s="872">
        <v>0</v>
      </c>
      <c r="BN56" s="872">
        <v>0</v>
      </c>
      <c r="BO56" s="874">
        <v>0.6</v>
      </c>
      <c r="BP56" s="872"/>
      <c r="BQ56" s="875">
        <v>0</v>
      </c>
      <c r="BR56" s="858">
        <v>0</v>
      </c>
      <c r="BS56" s="872">
        <v>0</v>
      </c>
      <c r="BT56" s="872">
        <v>0</v>
      </c>
      <c r="BU56" s="874">
        <v>0.6</v>
      </c>
      <c r="BV56" s="872"/>
      <c r="BW56" s="875">
        <v>0</v>
      </c>
      <c r="BX56" s="858">
        <v>0</v>
      </c>
      <c r="BY56" s="872">
        <v>0</v>
      </c>
      <c r="BZ56" s="872">
        <v>0</v>
      </c>
      <c r="CA56" s="874">
        <v>0.6</v>
      </c>
      <c r="CB56" s="872"/>
      <c r="CC56" s="875">
        <v>0.2</v>
      </c>
      <c r="CD56" s="858">
        <v>0</v>
      </c>
      <c r="CE56" s="872">
        <v>0</v>
      </c>
      <c r="CF56" s="872">
        <v>0</v>
      </c>
      <c r="CG56" s="874">
        <v>0.8</v>
      </c>
      <c r="CH56" s="872"/>
      <c r="CI56" s="874">
        <v>0</v>
      </c>
      <c r="CJ56" s="858">
        <v>0</v>
      </c>
      <c r="CK56" s="872">
        <v>0</v>
      </c>
      <c r="CL56" s="872">
        <v>0</v>
      </c>
      <c r="CM56" s="874">
        <v>0.8</v>
      </c>
      <c r="CN56" s="872"/>
      <c r="CO56" s="875">
        <v>0</v>
      </c>
      <c r="CP56" s="858">
        <v>0</v>
      </c>
      <c r="CQ56" s="872">
        <v>0</v>
      </c>
      <c r="CR56" s="872">
        <v>0</v>
      </c>
      <c r="CS56" s="874">
        <v>0.8</v>
      </c>
      <c r="CT56" s="872"/>
      <c r="CU56" s="875">
        <v>0</v>
      </c>
      <c r="CV56" s="858">
        <v>0</v>
      </c>
      <c r="CW56" s="872">
        <v>0</v>
      </c>
      <c r="CX56" s="872">
        <v>0</v>
      </c>
      <c r="CY56" s="874">
        <v>0.8</v>
      </c>
      <c r="CZ56" s="872"/>
      <c r="DA56" s="875">
        <v>0</v>
      </c>
      <c r="DB56" s="858">
        <v>0</v>
      </c>
      <c r="DC56" s="872">
        <v>0</v>
      </c>
      <c r="DD56" s="872">
        <v>0</v>
      </c>
      <c r="DE56" s="874">
        <v>0.8</v>
      </c>
      <c r="DF56" s="858" t="s">
        <v>1442</v>
      </c>
      <c r="DG56" s="875">
        <v>0.15</v>
      </c>
      <c r="DH56" s="858">
        <v>0</v>
      </c>
      <c r="DI56" s="872">
        <v>0</v>
      </c>
      <c r="DJ56" s="872">
        <v>0</v>
      </c>
      <c r="DK56" s="874">
        <v>0.95</v>
      </c>
      <c r="DL56" s="858" t="s">
        <v>1443</v>
      </c>
      <c r="DM56" s="875">
        <v>0.05</v>
      </c>
      <c r="DN56" s="858">
        <v>0</v>
      </c>
      <c r="DO56" s="872">
        <v>0</v>
      </c>
      <c r="DP56" s="872">
        <v>0</v>
      </c>
      <c r="DQ56" s="872">
        <v>0</v>
      </c>
    </row>
    <row r="57" s="861" customFormat="1" ht="14.25" customHeight="1" spans="1:121">
      <c r="A57" s="852">
        <v>55</v>
      </c>
      <c r="B57" s="853" t="s">
        <v>1354</v>
      </c>
      <c r="C57" s="853" t="s">
        <v>1351</v>
      </c>
      <c r="D57" s="290" t="s">
        <v>1380</v>
      </c>
      <c r="E57" s="869">
        <v>1016.52</v>
      </c>
      <c r="F57" s="870">
        <v>0.17</v>
      </c>
      <c r="G57" s="874">
        <v>0</v>
      </c>
      <c r="H57" s="872"/>
      <c r="I57" s="875">
        <v>0</v>
      </c>
      <c r="J57" s="858">
        <v>0</v>
      </c>
      <c r="K57" s="872">
        <v>0</v>
      </c>
      <c r="L57" s="872">
        <v>0</v>
      </c>
      <c r="M57" s="874">
        <v>0</v>
      </c>
      <c r="N57" s="872"/>
      <c r="O57" s="875">
        <v>0</v>
      </c>
      <c r="P57" s="858">
        <v>0</v>
      </c>
      <c r="Q57" s="872">
        <v>0</v>
      </c>
      <c r="R57" s="872">
        <v>0</v>
      </c>
      <c r="S57" s="874">
        <v>0</v>
      </c>
      <c r="T57" s="872"/>
      <c r="U57" s="875">
        <v>0</v>
      </c>
      <c r="V57" s="858">
        <v>0</v>
      </c>
      <c r="W57" s="872">
        <v>0</v>
      </c>
      <c r="X57" s="872">
        <v>0</v>
      </c>
      <c r="Y57" s="874">
        <v>0</v>
      </c>
      <c r="Z57" s="872"/>
      <c r="AA57" s="875">
        <v>0</v>
      </c>
      <c r="AB57" s="858">
        <v>0</v>
      </c>
      <c r="AC57" s="872">
        <v>0</v>
      </c>
      <c r="AD57" s="872">
        <v>0</v>
      </c>
      <c r="AE57" s="874">
        <v>0</v>
      </c>
      <c r="AF57" s="872"/>
      <c r="AG57" s="875">
        <v>0</v>
      </c>
      <c r="AH57" s="858">
        <v>0</v>
      </c>
      <c r="AI57" s="872">
        <v>0</v>
      </c>
      <c r="AJ57" s="872">
        <v>0</v>
      </c>
      <c r="AK57" s="874">
        <v>0</v>
      </c>
      <c r="AL57" s="872"/>
      <c r="AM57" s="875">
        <v>0</v>
      </c>
      <c r="AN57" s="858">
        <v>0</v>
      </c>
      <c r="AO57" s="872">
        <v>0</v>
      </c>
      <c r="AP57" s="872">
        <v>0</v>
      </c>
      <c r="AQ57" s="874">
        <v>0</v>
      </c>
      <c r="AR57" s="872"/>
      <c r="AS57" s="875">
        <v>0</v>
      </c>
      <c r="AT57" s="858">
        <v>0</v>
      </c>
      <c r="AU57" s="872">
        <v>0</v>
      </c>
      <c r="AV57" s="872">
        <v>0</v>
      </c>
      <c r="AW57" s="874">
        <v>0</v>
      </c>
      <c r="AX57" s="872"/>
      <c r="AY57" s="875">
        <v>0</v>
      </c>
      <c r="AZ57" s="858">
        <v>0</v>
      </c>
      <c r="BA57" s="872">
        <v>0</v>
      </c>
      <c r="BB57" s="872">
        <v>0</v>
      </c>
      <c r="BC57" s="874">
        <v>0</v>
      </c>
      <c r="BD57" s="872"/>
      <c r="BE57" s="875">
        <v>0</v>
      </c>
      <c r="BF57" s="858">
        <v>0</v>
      </c>
      <c r="BG57" s="872">
        <v>0</v>
      </c>
      <c r="BH57" s="872">
        <v>0</v>
      </c>
      <c r="BI57" s="874">
        <v>0</v>
      </c>
      <c r="BJ57" s="872"/>
      <c r="BK57" s="875">
        <v>0</v>
      </c>
      <c r="BL57" s="858">
        <v>0</v>
      </c>
      <c r="BM57" s="872">
        <v>0</v>
      </c>
      <c r="BN57" s="872">
        <v>0</v>
      </c>
      <c r="BO57" s="874">
        <v>0</v>
      </c>
      <c r="BP57" s="872"/>
      <c r="BQ57" s="875">
        <v>1</v>
      </c>
      <c r="BR57" s="858">
        <v>1016.52</v>
      </c>
      <c r="BS57" s="872">
        <v>868.820512820513</v>
      </c>
      <c r="BT57" s="872">
        <v>147.699487179487</v>
      </c>
      <c r="BU57" s="874">
        <v>1</v>
      </c>
      <c r="BV57" s="872"/>
      <c r="BW57" s="875">
        <v>0</v>
      </c>
      <c r="BX57" s="858">
        <v>0</v>
      </c>
      <c r="BY57" s="872">
        <v>0</v>
      </c>
      <c r="BZ57" s="872">
        <v>0</v>
      </c>
      <c r="CA57" s="874">
        <v>1</v>
      </c>
      <c r="CB57" s="872"/>
      <c r="CC57" s="875">
        <v>0</v>
      </c>
      <c r="CD57" s="858">
        <v>0</v>
      </c>
      <c r="CE57" s="872">
        <v>0</v>
      </c>
      <c r="CF57" s="872">
        <v>0</v>
      </c>
      <c r="CG57" s="874">
        <v>1</v>
      </c>
      <c r="CH57" s="872"/>
      <c r="CI57" s="874">
        <v>0</v>
      </c>
      <c r="CJ57" s="858">
        <v>0</v>
      </c>
      <c r="CK57" s="872">
        <v>0</v>
      </c>
      <c r="CL57" s="872">
        <v>0</v>
      </c>
      <c r="CM57" s="874">
        <v>1</v>
      </c>
      <c r="CN57" s="872"/>
      <c r="CO57" s="875">
        <v>0</v>
      </c>
      <c r="CP57" s="858">
        <v>0</v>
      </c>
      <c r="CQ57" s="872">
        <v>0</v>
      </c>
      <c r="CR57" s="872">
        <v>0</v>
      </c>
      <c r="CS57" s="874">
        <v>1</v>
      </c>
      <c r="CT57" s="872"/>
      <c r="CU57" s="875">
        <v>0</v>
      </c>
      <c r="CV57" s="858">
        <v>0</v>
      </c>
      <c r="CW57" s="872">
        <v>0</v>
      </c>
      <c r="CX57" s="872">
        <v>0</v>
      </c>
      <c r="CY57" s="874">
        <v>1</v>
      </c>
      <c r="CZ57" s="872"/>
      <c r="DA57" s="875">
        <v>0</v>
      </c>
      <c r="DB57" s="858">
        <v>0</v>
      </c>
      <c r="DC57" s="872">
        <v>0</v>
      </c>
      <c r="DD57" s="872">
        <v>0</v>
      </c>
      <c r="DE57" s="874">
        <v>1</v>
      </c>
      <c r="DF57" s="858" t="s">
        <v>1442</v>
      </c>
      <c r="DG57" s="875">
        <v>0</v>
      </c>
      <c r="DH57" s="858">
        <v>0</v>
      </c>
      <c r="DI57" s="872">
        <v>0</v>
      </c>
      <c r="DJ57" s="872">
        <v>0</v>
      </c>
      <c r="DK57" s="874">
        <v>1</v>
      </c>
      <c r="DL57" s="858" t="s">
        <v>1442</v>
      </c>
      <c r="DM57" s="875">
        <v>0</v>
      </c>
      <c r="DN57" s="858">
        <v>0</v>
      </c>
      <c r="DO57" s="872">
        <v>0</v>
      </c>
      <c r="DP57" s="872">
        <v>0</v>
      </c>
      <c r="DQ57" s="872">
        <v>0</v>
      </c>
    </row>
    <row r="58" s="861" customFormat="1" ht="14.25" customHeight="1" spans="1:121">
      <c r="A58" s="852">
        <v>56</v>
      </c>
      <c r="B58" s="853" t="s">
        <v>1345</v>
      </c>
      <c r="C58" s="853" t="s">
        <v>1351</v>
      </c>
      <c r="D58" s="873" t="s">
        <v>1381</v>
      </c>
      <c r="E58" s="869">
        <v>656.144615384615</v>
      </c>
      <c r="F58" s="870">
        <v>0.11</v>
      </c>
      <c r="G58" s="874">
        <v>0</v>
      </c>
      <c r="H58" s="872"/>
      <c r="I58" s="875">
        <v>0</v>
      </c>
      <c r="J58" s="858">
        <v>0</v>
      </c>
      <c r="K58" s="872">
        <v>0</v>
      </c>
      <c r="L58" s="872">
        <v>0</v>
      </c>
      <c r="M58" s="874">
        <v>0</v>
      </c>
      <c r="N58" s="872"/>
      <c r="O58" s="875">
        <v>0</v>
      </c>
      <c r="P58" s="858">
        <v>0</v>
      </c>
      <c r="Q58" s="872">
        <v>0</v>
      </c>
      <c r="R58" s="872">
        <v>0</v>
      </c>
      <c r="S58" s="874">
        <v>0</v>
      </c>
      <c r="T58" s="872"/>
      <c r="U58" s="875">
        <v>0</v>
      </c>
      <c r="V58" s="858">
        <v>0</v>
      </c>
      <c r="W58" s="872">
        <v>0</v>
      </c>
      <c r="X58" s="872">
        <v>0</v>
      </c>
      <c r="Y58" s="874">
        <v>0</v>
      </c>
      <c r="Z58" s="872"/>
      <c r="AA58" s="875">
        <v>0</v>
      </c>
      <c r="AB58" s="858">
        <v>0</v>
      </c>
      <c r="AC58" s="872">
        <v>0</v>
      </c>
      <c r="AD58" s="872">
        <v>0</v>
      </c>
      <c r="AE58" s="874">
        <v>0</v>
      </c>
      <c r="AF58" s="872"/>
      <c r="AG58" s="875">
        <v>0</v>
      </c>
      <c r="AH58" s="858">
        <v>0</v>
      </c>
      <c r="AI58" s="872">
        <v>0</v>
      </c>
      <c r="AJ58" s="872">
        <v>0</v>
      </c>
      <c r="AK58" s="874">
        <v>0</v>
      </c>
      <c r="AL58" s="872"/>
      <c r="AM58" s="875">
        <v>0</v>
      </c>
      <c r="AN58" s="858">
        <v>0</v>
      </c>
      <c r="AO58" s="872">
        <v>0</v>
      </c>
      <c r="AP58" s="872">
        <v>0</v>
      </c>
      <c r="AQ58" s="874">
        <v>0</v>
      </c>
      <c r="AR58" s="872"/>
      <c r="AS58" s="875">
        <v>0</v>
      </c>
      <c r="AT58" s="858">
        <v>0</v>
      </c>
      <c r="AU58" s="872">
        <v>0</v>
      </c>
      <c r="AV58" s="872">
        <v>0</v>
      </c>
      <c r="AW58" s="874">
        <v>0</v>
      </c>
      <c r="AX58" s="872"/>
      <c r="AY58" s="875">
        <v>0</v>
      </c>
      <c r="AZ58" s="858">
        <v>0</v>
      </c>
      <c r="BA58" s="872">
        <v>0</v>
      </c>
      <c r="BB58" s="872">
        <v>0</v>
      </c>
      <c r="BC58" s="874">
        <v>0</v>
      </c>
      <c r="BD58" s="872"/>
      <c r="BE58" s="875">
        <v>0</v>
      </c>
      <c r="BF58" s="858">
        <v>0</v>
      </c>
      <c r="BG58" s="872">
        <v>0</v>
      </c>
      <c r="BH58" s="872">
        <v>0</v>
      </c>
      <c r="BI58" s="874">
        <v>0</v>
      </c>
      <c r="BJ58" s="872"/>
      <c r="BK58" s="875">
        <v>0</v>
      </c>
      <c r="BL58" s="858">
        <v>0</v>
      </c>
      <c r="BM58" s="872">
        <v>0</v>
      </c>
      <c r="BN58" s="872">
        <v>0</v>
      </c>
      <c r="BO58" s="874">
        <v>0</v>
      </c>
      <c r="BP58" s="872"/>
      <c r="BQ58" s="875">
        <v>0.8</v>
      </c>
      <c r="BR58" s="858">
        <v>524.915692307692</v>
      </c>
      <c r="BS58" s="872">
        <v>472.89702009702</v>
      </c>
      <c r="BT58" s="872">
        <v>52.0186722106723</v>
      </c>
      <c r="BU58" s="874">
        <v>0.8</v>
      </c>
      <c r="BV58" s="872"/>
      <c r="BW58" s="875">
        <v>0</v>
      </c>
      <c r="BX58" s="858">
        <v>0</v>
      </c>
      <c r="BY58" s="872">
        <v>0</v>
      </c>
      <c r="BZ58" s="872">
        <v>0</v>
      </c>
      <c r="CA58" s="874">
        <v>0.8</v>
      </c>
      <c r="CB58" s="872"/>
      <c r="CC58" s="875">
        <v>0</v>
      </c>
      <c r="CD58" s="858">
        <v>0</v>
      </c>
      <c r="CE58" s="872">
        <v>0</v>
      </c>
      <c r="CF58" s="872">
        <v>0</v>
      </c>
      <c r="CG58" s="874">
        <v>0.8</v>
      </c>
      <c r="CH58" s="872"/>
      <c r="CI58" s="874">
        <v>0</v>
      </c>
      <c r="CJ58" s="858">
        <v>0</v>
      </c>
      <c r="CK58" s="872">
        <v>0</v>
      </c>
      <c r="CL58" s="872">
        <v>0</v>
      </c>
      <c r="CM58" s="874">
        <v>0.8</v>
      </c>
      <c r="CN58" s="872"/>
      <c r="CO58" s="875">
        <v>0</v>
      </c>
      <c r="CP58" s="858">
        <v>0</v>
      </c>
      <c r="CQ58" s="872">
        <v>0</v>
      </c>
      <c r="CR58" s="872">
        <v>0</v>
      </c>
      <c r="CS58" s="874">
        <v>0.8</v>
      </c>
      <c r="CT58" s="872"/>
      <c r="CU58" s="875">
        <v>0</v>
      </c>
      <c r="CV58" s="858">
        <v>0</v>
      </c>
      <c r="CW58" s="872">
        <v>0</v>
      </c>
      <c r="CX58" s="872">
        <v>0</v>
      </c>
      <c r="CY58" s="874">
        <v>0.8</v>
      </c>
      <c r="CZ58" s="872"/>
      <c r="DA58" s="875">
        <v>0</v>
      </c>
      <c r="DB58" s="858">
        <v>0</v>
      </c>
      <c r="DC58" s="872">
        <v>0</v>
      </c>
      <c r="DD58" s="872">
        <v>0</v>
      </c>
      <c r="DE58" s="874">
        <v>0.8</v>
      </c>
      <c r="DF58" s="858" t="s">
        <v>1442</v>
      </c>
      <c r="DG58" s="875">
        <v>0.15</v>
      </c>
      <c r="DH58" s="858">
        <v>98.4216923076923</v>
      </c>
      <c r="DI58" s="872">
        <v>88.6681912681913</v>
      </c>
      <c r="DJ58" s="872">
        <v>9.75350103950105</v>
      </c>
      <c r="DK58" s="874">
        <v>0.95</v>
      </c>
      <c r="DL58" s="858" t="s">
        <v>1442</v>
      </c>
      <c r="DM58" s="875">
        <v>0.05</v>
      </c>
      <c r="DN58" s="858">
        <v>32.8072307692308</v>
      </c>
      <c r="DO58" s="872">
        <v>29.5560637560638</v>
      </c>
      <c r="DP58" s="872">
        <v>3.25116701316702</v>
      </c>
      <c r="DQ58" s="872">
        <v>0</v>
      </c>
    </row>
    <row r="59" s="861" customFormat="1" ht="14.25" customHeight="1" spans="1:121">
      <c r="A59" s="852">
        <v>57</v>
      </c>
      <c r="B59" s="853" t="s">
        <v>1345</v>
      </c>
      <c r="C59" s="853" t="s">
        <v>1351</v>
      </c>
      <c r="D59" s="873" t="s">
        <v>1382</v>
      </c>
      <c r="E59" s="869">
        <v>1002.44</v>
      </c>
      <c r="F59" s="870">
        <v>0.11</v>
      </c>
      <c r="G59" s="874">
        <v>0</v>
      </c>
      <c r="H59" s="872"/>
      <c r="I59" s="875">
        <v>0</v>
      </c>
      <c r="J59" s="858">
        <v>0</v>
      </c>
      <c r="K59" s="872">
        <v>0</v>
      </c>
      <c r="L59" s="872">
        <v>0</v>
      </c>
      <c r="M59" s="874">
        <v>0</v>
      </c>
      <c r="N59" s="872"/>
      <c r="O59" s="875">
        <v>0</v>
      </c>
      <c r="P59" s="858">
        <v>0</v>
      </c>
      <c r="Q59" s="872">
        <v>0</v>
      </c>
      <c r="R59" s="872">
        <v>0</v>
      </c>
      <c r="S59" s="874">
        <v>0</v>
      </c>
      <c r="T59" s="872"/>
      <c r="U59" s="875">
        <v>0</v>
      </c>
      <c r="V59" s="858">
        <v>0</v>
      </c>
      <c r="W59" s="872">
        <v>0</v>
      </c>
      <c r="X59" s="872">
        <v>0</v>
      </c>
      <c r="Y59" s="874">
        <v>0</v>
      </c>
      <c r="Z59" s="872"/>
      <c r="AA59" s="875">
        <v>0</v>
      </c>
      <c r="AB59" s="858">
        <v>0</v>
      </c>
      <c r="AC59" s="872">
        <v>0</v>
      </c>
      <c r="AD59" s="872">
        <v>0</v>
      </c>
      <c r="AE59" s="874">
        <v>0</v>
      </c>
      <c r="AF59" s="872"/>
      <c r="AG59" s="875">
        <v>0</v>
      </c>
      <c r="AH59" s="858">
        <v>0</v>
      </c>
      <c r="AI59" s="872">
        <v>0</v>
      </c>
      <c r="AJ59" s="872">
        <v>0</v>
      </c>
      <c r="AK59" s="874">
        <v>0</v>
      </c>
      <c r="AL59" s="872"/>
      <c r="AM59" s="875">
        <v>0</v>
      </c>
      <c r="AN59" s="858">
        <v>0</v>
      </c>
      <c r="AO59" s="872">
        <v>0</v>
      </c>
      <c r="AP59" s="872">
        <v>0</v>
      </c>
      <c r="AQ59" s="874">
        <v>0</v>
      </c>
      <c r="AR59" s="872"/>
      <c r="AS59" s="875">
        <v>0</v>
      </c>
      <c r="AT59" s="858">
        <v>0</v>
      </c>
      <c r="AU59" s="872">
        <v>0</v>
      </c>
      <c r="AV59" s="872">
        <v>0</v>
      </c>
      <c r="AW59" s="874">
        <v>0</v>
      </c>
      <c r="AX59" s="872"/>
      <c r="AY59" s="875">
        <v>0</v>
      </c>
      <c r="AZ59" s="858">
        <v>0</v>
      </c>
      <c r="BA59" s="872">
        <v>0</v>
      </c>
      <c r="BB59" s="872">
        <v>0</v>
      </c>
      <c r="BC59" s="874">
        <v>0</v>
      </c>
      <c r="BD59" s="872"/>
      <c r="BE59" s="875">
        <v>0</v>
      </c>
      <c r="BF59" s="858">
        <v>0</v>
      </c>
      <c r="BG59" s="872">
        <v>0</v>
      </c>
      <c r="BH59" s="872">
        <v>0</v>
      </c>
      <c r="BI59" s="874">
        <v>0</v>
      </c>
      <c r="BJ59" s="872"/>
      <c r="BK59" s="875">
        <v>0</v>
      </c>
      <c r="BL59" s="858">
        <v>0</v>
      </c>
      <c r="BM59" s="872">
        <v>0</v>
      </c>
      <c r="BN59" s="872">
        <v>0</v>
      </c>
      <c r="BO59" s="874">
        <v>0</v>
      </c>
      <c r="BP59" s="872"/>
      <c r="BQ59" s="875">
        <v>0.85</v>
      </c>
      <c r="BR59" s="858">
        <v>852.074</v>
      </c>
      <c r="BS59" s="872">
        <v>767.634234234234</v>
      </c>
      <c r="BT59" s="872">
        <v>84.4397657657659</v>
      </c>
      <c r="BU59" s="874">
        <v>0.85</v>
      </c>
      <c r="BV59" s="872"/>
      <c r="BW59" s="875">
        <v>0</v>
      </c>
      <c r="BX59" s="858">
        <v>0</v>
      </c>
      <c r="BY59" s="872">
        <v>0</v>
      </c>
      <c r="BZ59" s="872">
        <v>0</v>
      </c>
      <c r="CA59" s="874">
        <v>0.85</v>
      </c>
      <c r="CB59" s="872"/>
      <c r="CC59" s="875">
        <v>0</v>
      </c>
      <c r="CD59" s="858">
        <v>0</v>
      </c>
      <c r="CE59" s="872">
        <v>0</v>
      </c>
      <c r="CF59" s="872">
        <v>0</v>
      </c>
      <c r="CG59" s="874">
        <v>0.85</v>
      </c>
      <c r="CH59" s="872"/>
      <c r="CI59" s="874">
        <v>0</v>
      </c>
      <c r="CJ59" s="858">
        <v>0</v>
      </c>
      <c r="CK59" s="872">
        <v>0</v>
      </c>
      <c r="CL59" s="872">
        <v>0</v>
      </c>
      <c r="CM59" s="874">
        <v>0.85</v>
      </c>
      <c r="CN59" s="872"/>
      <c r="CO59" s="875">
        <v>0</v>
      </c>
      <c r="CP59" s="858">
        <v>0</v>
      </c>
      <c r="CQ59" s="872">
        <v>0</v>
      </c>
      <c r="CR59" s="872">
        <v>0</v>
      </c>
      <c r="CS59" s="874">
        <v>0.85</v>
      </c>
      <c r="CT59" s="872"/>
      <c r="CU59" s="875">
        <v>0</v>
      </c>
      <c r="CV59" s="858">
        <v>0</v>
      </c>
      <c r="CW59" s="872">
        <v>0</v>
      </c>
      <c r="CX59" s="872">
        <v>0</v>
      </c>
      <c r="CY59" s="874">
        <v>0.85</v>
      </c>
      <c r="CZ59" s="872"/>
      <c r="DA59" s="875">
        <v>0</v>
      </c>
      <c r="DB59" s="858">
        <v>0</v>
      </c>
      <c r="DC59" s="872">
        <v>0</v>
      </c>
      <c r="DD59" s="872">
        <v>0</v>
      </c>
      <c r="DE59" s="874">
        <v>0.85</v>
      </c>
      <c r="DF59" s="858" t="s">
        <v>1442</v>
      </c>
      <c r="DG59" s="875">
        <v>0.1</v>
      </c>
      <c r="DH59" s="858">
        <v>100.244</v>
      </c>
      <c r="DI59" s="872">
        <v>90.3099099099099</v>
      </c>
      <c r="DJ59" s="872">
        <v>9.93409009009009</v>
      </c>
      <c r="DK59" s="874">
        <v>0.95</v>
      </c>
      <c r="DL59" s="858" t="s">
        <v>1442</v>
      </c>
      <c r="DM59" s="875">
        <v>0.05</v>
      </c>
      <c r="DN59" s="858">
        <v>50.122</v>
      </c>
      <c r="DO59" s="872">
        <v>45.154954954955</v>
      </c>
      <c r="DP59" s="872">
        <v>4.96704504504505</v>
      </c>
      <c r="DQ59" s="872">
        <v>0</v>
      </c>
    </row>
    <row r="60" s="861" customFormat="1" ht="14.25" customHeight="1" spans="1:121">
      <c r="A60" s="852">
        <v>58</v>
      </c>
      <c r="B60" s="853" t="s">
        <v>1345</v>
      </c>
      <c r="C60" s="853" t="s">
        <v>1351</v>
      </c>
      <c r="D60" s="873" t="s">
        <v>1383</v>
      </c>
      <c r="E60" s="869">
        <v>0</v>
      </c>
      <c r="F60" s="870">
        <v>0.11</v>
      </c>
      <c r="G60" s="874">
        <v>0</v>
      </c>
      <c r="H60" s="872"/>
      <c r="I60" s="875">
        <v>0</v>
      </c>
      <c r="J60" s="858">
        <v>0</v>
      </c>
      <c r="K60" s="872">
        <v>0</v>
      </c>
      <c r="L60" s="872">
        <v>0</v>
      </c>
      <c r="M60" s="874">
        <v>0</v>
      </c>
      <c r="N60" s="872"/>
      <c r="O60" s="875">
        <v>0</v>
      </c>
      <c r="P60" s="858">
        <v>0</v>
      </c>
      <c r="Q60" s="872">
        <v>0</v>
      </c>
      <c r="R60" s="872">
        <v>0</v>
      </c>
      <c r="S60" s="874">
        <v>0</v>
      </c>
      <c r="T60" s="872"/>
      <c r="U60" s="875">
        <v>0</v>
      </c>
      <c r="V60" s="858">
        <v>0</v>
      </c>
      <c r="W60" s="872">
        <v>0</v>
      </c>
      <c r="X60" s="872">
        <v>0</v>
      </c>
      <c r="Y60" s="874">
        <v>0</v>
      </c>
      <c r="Z60" s="872"/>
      <c r="AA60" s="875">
        <v>0</v>
      </c>
      <c r="AB60" s="858">
        <v>0</v>
      </c>
      <c r="AC60" s="872">
        <v>0</v>
      </c>
      <c r="AD60" s="872">
        <v>0</v>
      </c>
      <c r="AE60" s="874">
        <v>0</v>
      </c>
      <c r="AF60" s="872"/>
      <c r="AG60" s="875">
        <v>0</v>
      </c>
      <c r="AH60" s="858">
        <v>0</v>
      </c>
      <c r="AI60" s="872">
        <v>0</v>
      </c>
      <c r="AJ60" s="872">
        <v>0</v>
      </c>
      <c r="AK60" s="874">
        <v>0</v>
      </c>
      <c r="AL60" s="872"/>
      <c r="AM60" s="875">
        <v>0</v>
      </c>
      <c r="AN60" s="858">
        <v>0</v>
      </c>
      <c r="AO60" s="872">
        <v>0</v>
      </c>
      <c r="AP60" s="872">
        <v>0</v>
      </c>
      <c r="AQ60" s="874">
        <v>0</v>
      </c>
      <c r="AR60" s="872"/>
      <c r="AS60" s="875">
        <v>0</v>
      </c>
      <c r="AT60" s="858">
        <v>0</v>
      </c>
      <c r="AU60" s="872">
        <v>0</v>
      </c>
      <c r="AV60" s="872">
        <v>0</v>
      </c>
      <c r="AW60" s="874">
        <v>0</v>
      </c>
      <c r="AX60" s="872"/>
      <c r="AY60" s="875">
        <v>0</v>
      </c>
      <c r="AZ60" s="858">
        <v>0</v>
      </c>
      <c r="BA60" s="872">
        <v>0</v>
      </c>
      <c r="BB60" s="872">
        <v>0</v>
      </c>
      <c r="BC60" s="874">
        <v>0</v>
      </c>
      <c r="BD60" s="872"/>
      <c r="BE60" s="875">
        <v>0</v>
      </c>
      <c r="BF60" s="858">
        <v>0</v>
      </c>
      <c r="BG60" s="872">
        <v>0</v>
      </c>
      <c r="BH60" s="872">
        <v>0</v>
      </c>
      <c r="BI60" s="874">
        <v>0</v>
      </c>
      <c r="BJ60" s="872"/>
      <c r="BK60" s="875">
        <v>0</v>
      </c>
      <c r="BL60" s="858">
        <v>0</v>
      </c>
      <c r="BM60" s="872">
        <v>0</v>
      </c>
      <c r="BN60" s="872">
        <v>0</v>
      </c>
      <c r="BO60" s="874">
        <v>0</v>
      </c>
      <c r="BP60" s="872"/>
      <c r="BQ60" s="875">
        <v>0.85</v>
      </c>
      <c r="BR60" s="858">
        <v>0</v>
      </c>
      <c r="BS60" s="872">
        <v>0</v>
      </c>
      <c r="BT60" s="872">
        <v>0</v>
      </c>
      <c r="BU60" s="874">
        <v>0.85</v>
      </c>
      <c r="BV60" s="872"/>
      <c r="BW60" s="875">
        <v>0</v>
      </c>
      <c r="BX60" s="858">
        <v>0</v>
      </c>
      <c r="BY60" s="872">
        <v>0</v>
      </c>
      <c r="BZ60" s="872">
        <v>0</v>
      </c>
      <c r="CA60" s="874">
        <v>0.85</v>
      </c>
      <c r="CB60" s="872"/>
      <c r="CC60" s="875">
        <v>0</v>
      </c>
      <c r="CD60" s="858">
        <v>0</v>
      </c>
      <c r="CE60" s="872">
        <v>0</v>
      </c>
      <c r="CF60" s="872">
        <v>0</v>
      </c>
      <c r="CG60" s="874">
        <v>0.85</v>
      </c>
      <c r="CH60" s="872"/>
      <c r="CI60" s="874">
        <v>0</v>
      </c>
      <c r="CJ60" s="858">
        <v>0</v>
      </c>
      <c r="CK60" s="872">
        <v>0</v>
      </c>
      <c r="CL60" s="872">
        <v>0</v>
      </c>
      <c r="CM60" s="874">
        <v>0.85</v>
      </c>
      <c r="CN60" s="872"/>
      <c r="CO60" s="875">
        <v>0</v>
      </c>
      <c r="CP60" s="858">
        <v>0</v>
      </c>
      <c r="CQ60" s="872">
        <v>0</v>
      </c>
      <c r="CR60" s="872">
        <v>0</v>
      </c>
      <c r="CS60" s="874">
        <v>0.85</v>
      </c>
      <c r="CT60" s="872"/>
      <c r="CU60" s="875">
        <v>0</v>
      </c>
      <c r="CV60" s="858">
        <v>0</v>
      </c>
      <c r="CW60" s="872">
        <v>0</v>
      </c>
      <c r="CX60" s="872">
        <v>0</v>
      </c>
      <c r="CY60" s="874">
        <v>0.85</v>
      </c>
      <c r="CZ60" s="872"/>
      <c r="DA60" s="875">
        <v>0</v>
      </c>
      <c r="DB60" s="858">
        <v>0</v>
      </c>
      <c r="DC60" s="872">
        <v>0</v>
      </c>
      <c r="DD60" s="872">
        <v>0</v>
      </c>
      <c r="DE60" s="874">
        <v>0.85</v>
      </c>
      <c r="DF60" s="858" t="s">
        <v>1442</v>
      </c>
      <c r="DG60" s="875">
        <v>0.1</v>
      </c>
      <c r="DH60" s="858">
        <v>0</v>
      </c>
      <c r="DI60" s="872">
        <v>0</v>
      </c>
      <c r="DJ60" s="872">
        <v>0</v>
      </c>
      <c r="DK60" s="874">
        <v>0.95</v>
      </c>
      <c r="DL60" s="858" t="s">
        <v>1442</v>
      </c>
      <c r="DM60" s="875">
        <v>0.05</v>
      </c>
      <c r="DN60" s="858">
        <v>0</v>
      </c>
      <c r="DO60" s="872">
        <v>0</v>
      </c>
      <c r="DP60" s="872">
        <v>0</v>
      </c>
      <c r="DQ60" s="872">
        <v>0</v>
      </c>
    </row>
    <row r="61" s="861" customFormat="1" ht="14.25" customHeight="1" spans="1:121">
      <c r="A61" s="852">
        <v>59</v>
      </c>
      <c r="B61" s="853" t="s">
        <v>1345</v>
      </c>
      <c r="C61" s="853" t="s">
        <v>1351</v>
      </c>
      <c r="D61" s="873" t="s">
        <v>1384</v>
      </c>
      <c r="E61" s="869">
        <v>665.7</v>
      </c>
      <c r="F61" s="870">
        <v>0.11</v>
      </c>
      <c r="G61" s="874">
        <v>0</v>
      </c>
      <c r="H61" s="872"/>
      <c r="I61" s="875">
        <v>0</v>
      </c>
      <c r="J61" s="858">
        <v>0</v>
      </c>
      <c r="K61" s="872">
        <v>0</v>
      </c>
      <c r="L61" s="872">
        <v>0</v>
      </c>
      <c r="M61" s="874">
        <v>0</v>
      </c>
      <c r="N61" s="872"/>
      <c r="O61" s="875">
        <v>0</v>
      </c>
      <c r="P61" s="858">
        <v>0</v>
      </c>
      <c r="Q61" s="872">
        <v>0</v>
      </c>
      <c r="R61" s="872">
        <v>0</v>
      </c>
      <c r="S61" s="874">
        <v>0</v>
      </c>
      <c r="T61" s="872"/>
      <c r="U61" s="875">
        <v>0</v>
      </c>
      <c r="V61" s="858">
        <v>0</v>
      </c>
      <c r="W61" s="872">
        <v>0</v>
      </c>
      <c r="X61" s="872">
        <v>0</v>
      </c>
      <c r="Y61" s="874">
        <v>0</v>
      </c>
      <c r="Z61" s="872"/>
      <c r="AA61" s="875">
        <v>0</v>
      </c>
      <c r="AB61" s="858">
        <v>0</v>
      </c>
      <c r="AC61" s="872">
        <v>0</v>
      </c>
      <c r="AD61" s="872">
        <v>0</v>
      </c>
      <c r="AE61" s="874">
        <v>0</v>
      </c>
      <c r="AF61" s="872"/>
      <c r="AG61" s="875">
        <v>0</v>
      </c>
      <c r="AH61" s="858">
        <v>0</v>
      </c>
      <c r="AI61" s="872">
        <v>0</v>
      </c>
      <c r="AJ61" s="872">
        <v>0</v>
      </c>
      <c r="AK61" s="874">
        <v>0</v>
      </c>
      <c r="AL61" s="872"/>
      <c r="AM61" s="875">
        <v>0</v>
      </c>
      <c r="AN61" s="858">
        <v>0</v>
      </c>
      <c r="AO61" s="872">
        <v>0</v>
      </c>
      <c r="AP61" s="872">
        <v>0</v>
      </c>
      <c r="AQ61" s="874">
        <v>0</v>
      </c>
      <c r="AR61" s="872"/>
      <c r="AS61" s="875">
        <v>0</v>
      </c>
      <c r="AT61" s="858">
        <v>0</v>
      </c>
      <c r="AU61" s="872">
        <v>0</v>
      </c>
      <c r="AV61" s="872">
        <v>0</v>
      </c>
      <c r="AW61" s="874">
        <v>0</v>
      </c>
      <c r="AX61" s="872"/>
      <c r="AY61" s="875">
        <v>0</v>
      </c>
      <c r="AZ61" s="858">
        <v>0</v>
      </c>
      <c r="BA61" s="872">
        <v>0</v>
      </c>
      <c r="BB61" s="872">
        <v>0</v>
      </c>
      <c r="BC61" s="874">
        <v>0</v>
      </c>
      <c r="BD61" s="872"/>
      <c r="BE61" s="875">
        <v>0</v>
      </c>
      <c r="BF61" s="858">
        <v>0</v>
      </c>
      <c r="BG61" s="872">
        <v>0</v>
      </c>
      <c r="BH61" s="872">
        <v>0</v>
      </c>
      <c r="BI61" s="874">
        <v>0</v>
      </c>
      <c r="BJ61" s="872"/>
      <c r="BK61" s="875">
        <v>0</v>
      </c>
      <c r="BL61" s="858">
        <v>0</v>
      </c>
      <c r="BM61" s="872">
        <v>0</v>
      </c>
      <c r="BN61" s="872">
        <v>0</v>
      </c>
      <c r="BO61" s="874">
        <v>0</v>
      </c>
      <c r="BP61" s="872"/>
      <c r="BQ61" s="875">
        <v>0.85</v>
      </c>
      <c r="BR61" s="858">
        <v>565.845</v>
      </c>
      <c r="BS61" s="872">
        <v>509.77027027027</v>
      </c>
      <c r="BT61" s="872">
        <v>56.0747297297298</v>
      </c>
      <c r="BU61" s="874">
        <v>0.85</v>
      </c>
      <c r="BV61" s="872"/>
      <c r="BW61" s="875">
        <v>0</v>
      </c>
      <c r="BX61" s="858">
        <v>0</v>
      </c>
      <c r="BY61" s="872">
        <v>0</v>
      </c>
      <c r="BZ61" s="872">
        <v>0</v>
      </c>
      <c r="CA61" s="874">
        <v>0.85</v>
      </c>
      <c r="CB61" s="872"/>
      <c r="CC61" s="875">
        <v>0</v>
      </c>
      <c r="CD61" s="858">
        <v>0</v>
      </c>
      <c r="CE61" s="872">
        <v>0</v>
      </c>
      <c r="CF61" s="872">
        <v>0</v>
      </c>
      <c r="CG61" s="874">
        <v>0.85</v>
      </c>
      <c r="CH61" s="872"/>
      <c r="CI61" s="874">
        <v>0</v>
      </c>
      <c r="CJ61" s="858">
        <v>0</v>
      </c>
      <c r="CK61" s="872">
        <v>0</v>
      </c>
      <c r="CL61" s="872">
        <v>0</v>
      </c>
      <c r="CM61" s="874">
        <v>0.85</v>
      </c>
      <c r="CN61" s="872"/>
      <c r="CO61" s="875">
        <v>0</v>
      </c>
      <c r="CP61" s="858">
        <v>0</v>
      </c>
      <c r="CQ61" s="872">
        <v>0</v>
      </c>
      <c r="CR61" s="872">
        <v>0</v>
      </c>
      <c r="CS61" s="874">
        <v>0.85</v>
      </c>
      <c r="CT61" s="872"/>
      <c r="CU61" s="875">
        <v>0</v>
      </c>
      <c r="CV61" s="858">
        <v>0</v>
      </c>
      <c r="CW61" s="872">
        <v>0</v>
      </c>
      <c r="CX61" s="872">
        <v>0</v>
      </c>
      <c r="CY61" s="874">
        <v>0.85</v>
      </c>
      <c r="CZ61" s="872"/>
      <c r="DA61" s="875">
        <v>0</v>
      </c>
      <c r="DB61" s="858">
        <v>0</v>
      </c>
      <c r="DC61" s="872">
        <v>0</v>
      </c>
      <c r="DD61" s="872">
        <v>0</v>
      </c>
      <c r="DE61" s="874">
        <v>0.85</v>
      </c>
      <c r="DF61" s="858" t="s">
        <v>1442</v>
      </c>
      <c r="DG61" s="875">
        <v>0.1</v>
      </c>
      <c r="DH61" s="858">
        <v>66.57</v>
      </c>
      <c r="DI61" s="872">
        <v>59.972972972973</v>
      </c>
      <c r="DJ61" s="872">
        <v>6.59702702702703</v>
      </c>
      <c r="DK61" s="874">
        <v>0.95</v>
      </c>
      <c r="DL61" s="858" t="s">
        <v>1442</v>
      </c>
      <c r="DM61" s="875">
        <v>0.05</v>
      </c>
      <c r="DN61" s="858">
        <v>33.285</v>
      </c>
      <c r="DO61" s="872">
        <v>29.9864864864865</v>
      </c>
      <c r="DP61" s="872">
        <v>3.29851351351352</v>
      </c>
      <c r="DQ61" s="872">
        <v>0</v>
      </c>
    </row>
    <row r="62" s="861" customFormat="1" ht="14.25" customHeight="1" spans="1:121">
      <c r="A62" s="852">
        <v>60</v>
      </c>
      <c r="B62" s="853" t="s">
        <v>1354</v>
      </c>
      <c r="C62" s="853" t="s">
        <v>1351</v>
      </c>
      <c r="D62" s="873" t="s">
        <v>1385</v>
      </c>
      <c r="E62" s="869">
        <v>0</v>
      </c>
      <c r="F62" s="870">
        <v>0.17</v>
      </c>
      <c r="G62" s="874">
        <v>0</v>
      </c>
      <c r="H62" s="872"/>
      <c r="I62" s="875">
        <v>0</v>
      </c>
      <c r="J62" s="858">
        <v>0</v>
      </c>
      <c r="K62" s="872">
        <v>0</v>
      </c>
      <c r="L62" s="872">
        <v>0</v>
      </c>
      <c r="M62" s="874">
        <v>0</v>
      </c>
      <c r="N62" s="872"/>
      <c r="O62" s="875">
        <v>0</v>
      </c>
      <c r="P62" s="858">
        <v>0</v>
      </c>
      <c r="Q62" s="872">
        <v>0</v>
      </c>
      <c r="R62" s="872">
        <v>0</v>
      </c>
      <c r="S62" s="874">
        <v>0</v>
      </c>
      <c r="T62" s="872"/>
      <c r="U62" s="875">
        <v>0</v>
      </c>
      <c r="V62" s="858">
        <v>0</v>
      </c>
      <c r="W62" s="872">
        <v>0</v>
      </c>
      <c r="X62" s="872">
        <v>0</v>
      </c>
      <c r="Y62" s="874">
        <v>0</v>
      </c>
      <c r="Z62" s="872"/>
      <c r="AA62" s="875">
        <v>0</v>
      </c>
      <c r="AB62" s="858">
        <v>0</v>
      </c>
      <c r="AC62" s="872">
        <v>0</v>
      </c>
      <c r="AD62" s="872">
        <v>0</v>
      </c>
      <c r="AE62" s="874">
        <v>0</v>
      </c>
      <c r="AF62" s="872"/>
      <c r="AG62" s="875">
        <v>0</v>
      </c>
      <c r="AH62" s="858">
        <v>0</v>
      </c>
      <c r="AI62" s="872">
        <v>0</v>
      </c>
      <c r="AJ62" s="872">
        <v>0</v>
      </c>
      <c r="AK62" s="874">
        <v>0</v>
      </c>
      <c r="AL62" s="872"/>
      <c r="AM62" s="875">
        <v>0</v>
      </c>
      <c r="AN62" s="858">
        <v>0</v>
      </c>
      <c r="AO62" s="872">
        <v>0</v>
      </c>
      <c r="AP62" s="872">
        <v>0</v>
      </c>
      <c r="AQ62" s="874">
        <v>0</v>
      </c>
      <c r="AR62" s="872"/>
      <c r="AS62" s="875">
        <v>0</v>
      </c>
      <c r="AT62" s="858">
        <v>0</v>
      </c>
      <c r="AU62" s="872">
        <v>0</v>
      </c>
      <c r="AV62" s="872">
        <v>0</v>
      </c>
      <c r="AW62" s="874">
        <v>0</v>
      </c>
      <c r="AX62" s="872"/>
      <c r="AY62" s="875">
        <v>0</v>
      </c>
      <c r="AZ62" s="858">
        <v>0</v>
      </c>
      <c r="BA62" s="872">
        <v>0</v>
      </c>
      <c r="BB62" s="872">
        <v>0</v>
      </c>
      <c r="BC62" s="874">
        <v>0</v>
      </c>
      <c r="BD62" s="872"/>
      <c r="BE62" s="875">
        <v>0</v>
      </c>
      <c r="BF62" s="858">
        <v>0</v>
      </c>
      <c r="BG62" s="872">
        <v>0</v>
      </c>
      <c r="BH62" s="872">
        <v>0</v>
      </c>
      <c r="BI62" s="874">
        <v>0</v>
      </c>
      <c r="BJ62" s="872"/>
      <c r="BK62" s="875">
        <v>0</v>
      </c>
      <c r="BL62" s="858">
        <v>0</v>
      </c>
      <c r="BM62" s="872">
        <v>0</v>
      </c>
      <c r="BN62" s="872">
        <v>0</v>
      </c>
      <c r="BO62" s="874">
        <v>0</v>
      </c>
      <c r="BP62" s="872"/>
      <c r="BQ62" s="875">
        <v>0.85</v>
      </c>
      <c r="BR62" s="858">
        <v>0</v>
      </c>
      <c r="BS62" s="872">
        <v>0</v>
      </c>
      <c r="BT62" s="872">
        <v>0</v>
      </c>
      <c r="BU62" s="874">
        <v>0.85</v>
      </c>
      <c r="BV62" s="872"/>
      <c r="BW62" s="875">
        <v>0</v>
      </c>
      <c r="BX62" s="858">
        <v>0</v>
      </c>
      <c r="BY62" s="872">
        <v>0</v>
      </c>
      <c r="BZ62" s="872">
        <v>0</v>
      </c>
      <c r="CA62" s="874">
        <v>0.85</v>
      </c>
      <c r="CB62" s="872"/>
      <c r="CC62" s="875">
        <v>0</v>
      </c>
      <c r="CD62" s="858">
        <v>0</v>
      </c>
      <c r="CE62" s="872">
        <v>0</v>
      </c>
      <c r="CF62" s="872">
        <v>0</v>
      </c>
      <c r="CG62" s="874">
        <v>0.85</v>
      </c>
      <c r="CH62" s="872"/>
      <c r="CI62" s="874">
        <v>0</v>
      </c>
      <c r="CJ62" s="858">
        <v>0</v>
      </c>
      <c r="CK62" s="872">
        <v>0</v>
      </c>
      <c r="CL62" s="872">
        <v>0</v>
      </c>
      <c r="CM62" s="874">
        <v>0.85</v>
      </c>
      <c r="CN62" s="872"/>
      <c r="CO62" s="875">
        <v>0</v>
      </c>
      <c r="CP62" s="858">
        <v>0</v>
      </c>
      <c r="CQ62" s="872">
        <v>0</v>
      </c>
      <c r="CR62" s="872">
        <v>0</v>
      </c>
      <c r="CS62" s="874">
        <v>0.85</v>
      </c>
      <c r="CT62" s="872"/>
      <c r="CU62" s="875">
        <v>0</v>
      </c>
      <c r="CV62" s="858">
        <v>0</v>
      </c>
      <c r="CW62" s="872">
        <v>0</v>
      </c>
      <c r="CX62" s="872">
        <v>0</v>
      </c>
      <c r="CY62" s="874">
        <v>0.85</v>
      </c>
      <c r="CZ62" s="872"/>
      <c r="DA62" s="875">
        <v>0</v>
      </c>
      <c r="DB62" s="858">
        <v>0</v>
      </c>
      <c r="DC62" s="872">
        <v>0</v>
      </c>
      <c r="DD62" s="872">
        <v>0</v>
      </c>
      <c r="DE62" s="874">
        <v>0.85</v>
      </c>
      <c r="DF62" s="858" t="s">
        <v>1442</v>
      </c>
      <c r="DG62" s="875">
        <v>0.1</v>
      </c>
      <c r="DH62" s="858">
        <v>0</v>
      </c>
      <c r="DI62" s="872">
        <v>0</v>
      </c>
      <c r="DJ62" s="872">
        <v>0</v>
      </c>
      <c r="DK62" s="874">
        <v>0.95</v>
      </c>
      <c r="DL62" s="858" t="s">
        <v>1442</v>
      </c>
      <c r="DM62" s="875">
        <v>0.05</v>
      </c>
      <c r="DN62" s="858">
        <v>0</v>
      </c>
      <c r="DO62" s="872">
        <v>0</v>
      </c>
      <c r="DP62" s="872">
        <v>0</v>
      </c>
      <c r="DQ62" s="872">
        <v>0</v>
      </c>
    </row>
    <row r="63" s="861" customFormat="1" ht="14.25" customHeight="1" spans="1:121">
      <c r="A63" s="852">
        <v>61</v>
      </c>
      <c r="B63" s="853" t="s">
        <v>1345</v>
      </c>
      <c r="C63" s="853" t="s">
        <v>1351</v>
      </c>
      <c r="D63" s="873" t="s">
        <v>1386</v>
      </c>
      <c r="E63" s="869">
        <v>2502.40634</v>
      </c>
      <c r="F63" s="870">
        <v>0.11</v>
      </c>
      <c r="G63" s="871">
        <v>0</v>
      </c>
      <c r="H63" s="858" t="s">
        <v>1441</v>
      </c>
      <c r="I63" s="871">
        <v>0</v>
      </c>
      <c r="J63" s="858">
        <v>0</v>
      </c>
      <c r="K63" s="872">
        <v>0</v>
      </c>
      <c r="L63" s="872">
        <v>0</v>
      </c>
      <c r="M63" s="874">
        <v>0</v>
      </c>
      <c r="N63" s="858"/>
      <c r="O63" s="872"/>
      <c r="P63" s="858">
        <v>0</v>
      </c>
      <c r="Q63" s="872">
        <v>0</v>
      </c>
      <c r="R63" s="872">
        <v>0</v>
      </c>
      <c r="S63" s="872"/>
      <c r="T63" s="872"/>
      <c r="U63" s="872"/>
      <c r="V63" s="858">
        <v>0</v>
      </c>
      <c r="W63" s="872">
        <v>0</v>
      </c>
      <c r="X63" s="872">
        <v>0</v>
      </c>
      <c r="Y63" s="872"/>
      <c r="Z63" s="872"/>
      <c r="AA63" s="872"/>
      <c r="AB63" s="858">
        <v>0</v>
      </c>
      <c r="AC63" s="872">
        <v>0</v>
      </c>
      <c r="AD63" s="872">
        <v>0</v>
      </c>
      <c r="AE63" s="872"/>
      <c r="AF63" s="872"/>
      <c r="AG63" s="872"/>
      <c r="AH63" s="858">
        <v>0</v>
      </c>
      <c r="AI63" s="872">
        <v>0</v>
      </c>
      <c r="AJ63" s="872">
        <v>0</v>
      </c>
      <c r="AK63" s="872"/>
      <c r="AL63" s="872"/>
      <c r="AM63" s="872"/>
      <c r="AN63" s="858">
        <v>0</v>
      </c>
      <c r="AO63" s="872">
        <v>0</v>
      </c>
      <c r="AP63" s="872">
        <v>0</v>
      </c>
      <c r="AQ63" s="872"/>
      <c r="AR63" s="872"/>
      <c r="AS63" s="872"/>
      <c r="AT63" s="858">
        <v>0</v>
      </c>
      <c r="AU63" s="872">
        <v>0</v>
      </c>
      <c r="AV63" s="872">
        <v>0</v>
      </c>
      <c r="AW63" s="872"/>
      <c r="AX63" s="872"/>
      <c r="AY63" s="872"/>
      <c r="AZ63" s="858">
        <v>0</v>
      </c>
      <c r="BA63" s="872">
        <v>0</v>
      </c>
      <c r="BB63" s="872">
        <v>0</v>
      </c>
      <c r="BC63" s="872"/>
      <c r="BD63" s="872"/>
      <c r="BE63" s="872"/>
      <c r="BF63" s="858">
        <v>0</v>
      </c>
      <c r="BG63" s="872">
        <v>0</v>
      </c>
      <c r="BH63" s="872">
        <v>0</v>
      </c>
      <c r="BI63" s="872"/>
      <c r="BJ63" s="872"/>
      <c r="BK63" s="872"/>
      <c r="BL63" s="858">
        <v>0</v>
      </c>
      <c r="BM63" s="872">
        <v>0</v>
      </c>
      <c r="BN63" s="872">
        <v>0</v>
      </c>
      <c r="BO63" s="872"/>
      <c r="BP63" s="872"/>
      <c r="BQ63" s="872"/>
      <c r="BR63" s="858">
        <v>0</v>
      </c>
      <c r="BS63" s="872">
        <v>0</v>
      </c>
      <c r="BT63" s="872">
        <v>0</v>
      </c>
      <c r="BU63" s="872"/>
      <c r="BV63" s="872"/>
      <c r="BW63" s="872"/>
      <c r="BX63" s="858">
        <v>0</v>
      </c>
      <c r="BY63" s="872">
        <v>0</v>
      </c>
      <c r="BZ63" s="872">
        <v>0</v>
      </c>
      <c r="CA63" s="872"/>
      <c r="CB63" s="872"/>
      <c r="CC63" s="872"/>
      <c r="CD63" s="858">
        <v>0</v>
      </c>
      <c r="CE63" s="872">
        <v>0</v>
      </c>
      <c r="CF63" s="872">
        <v>0</v>
      </c>
      <c r="CG63" s="872"/>
      <c r="CH63" s="872"/>
      <c r="CI63" s="872"/>
      <c r="CJ63" s="858">
        <v>0</v>
      </c>
      <c r="CK63" s="872">
        <v>0</v>
      </c>
      <c r="CL63" s="872">
        <v>0</v>
      </c>
      <c r="CM63" s="872"/>
      <c r="CN63" s="872"/>
      <c r="CO63" s="872"/>
      <c r="CP63" s="858">
        <v>0</v>
      </c>
      <c r="CQ63" s="872">
        <v>0</v>
      </c>
      <c r="CR63" s="872">
        <v>0</v>
      </c>
      <c r="CS63" s="872"/>
      <c r="CT63" s="872"/>
      <c r="CU63" s="872"/>
      <c r="CV63" s="858">
        <v>0</v>
      </c>
      <c r="CW63" s="872">
        <v>0</v>
      </c>
      <c r="CX63" s="872">
        <v>0</v>
      </c>
      <c r="CY63" s="872"/>
      <c r="CZ63" s="872"/>
      <c r="DA63" s="872"/>
      <c r="DB63" s="858">
        <v>0</v>
      </c>
      <c r="DC63" s="872">
        <v>0</v>
      </c>
      <c r="DD63" s="872">
        <v>0</v>
      </c>
      <c r="DE63" s="874">
        <v>0</v>
      </c>
      <c r="DF63" s="858" t="s">
        <v>1441</v>
      </c>
      <c r="DG63" s="871">
        <v>1</v>
      </c>
      <c r="DH63" s="858">
        <v>2502.40634</v>
      </c>
      <c r="DI63" s="872">
        <v>2254.42012612613</v>
      </c>
      <c r="DJ63" s="872">
        <v>247.986213873874</v>
      </c>
      <c r="DK63" s="874">
        <v>1</v>
      </c>
      <c r="DL63" s="872"/>
      <c r="DM63" s="872"/>
      <c r="DN63" s="858">
        <v>0</v>
      </c>
      <c r="DO63" s="872">
        <v>0</v>
      </c>
      <c r="DP63" s="872">
        <v>0</v>
      </c>
      <c r="DQ63" s="872">
        <v>0</v>
      </c>
    </row>
    <row r="64" s="861" customFormat="1" ht="14.25" customHeight="1" spans="1:121">
      <c r="A64" s="852">
        <v>62</v>
      </c>
      <c r="B64" s="853" t="s">
        <v>1345</v>
      </c>
      <c r="C64" s="853" t="s">
        <v>1351</v>
      </c>
      <c r="D64" s="873" t="s">
        <v>1387</v>
      </c>
      <c r="E64" s="869">
        <v>1440.55136615385</v>
      </c>
      <c r="F64" s="870">
        <v>0.11</v>
      </c>
      <c r="G64" s="871">
        <v>0</v>
      </c>
      <c r="H64" s="858" t="s">
        <v>1441</v>
      </c>
      <c r="I64" s="871">
        <v>0</v>
      </c>
      <c r="J64" s="858">
        <v>0</v>
      </c>
      <c r="K64" s="872">
        <v>0</v>
      </c>
      <c r="L64" s="872">
        <v>0</v>
      </c>
      <c r="M64" s="874">
        <v>0</v>
      </c>
      <c r="N64" s="858"/>
      <c r="O64" s="872"/>
      <c r="P64" s="858">
        <v>0</v>
      </c>
      <c r="Q64" s="872">
        <v>0</v>
      </c>
      <c r="R64" s="872">
        <v>0</v>
      </c>
      <c r="S64" s="872"/>
      <c r="T64" s="872"/>
      <c r="U64" s="872"/>
      <c r="V64" s="858">
        <v>0</v>
      </c>
      <c r="W64" s="872">
        <v>0</v>
      </c>
      <c r="X64" s="872">
        <v>0</v>
      </c>
      <c r="Y64" s="872"/>
      <c r="Z64" s="872"/>
      <c r="AA64" s="872"/>
      <c r="AB64" s="858">
        <v>0</v>
      </c>
      <c r="AC64" s="872">
        <v>0</v>
      </c>
      <c r="AD64" s="872">
        <v>0</v>
      </c>
      <c r="AE64" s="872"/>
      <c r="AF64" s="872"/>
      <c r="AG64" s="872"/>
      <c r="AH64" s="858">
        <v>0</v>
      </c>
      <c r="AI64" s="872">
        <v>0</v>
      </c>
      <c r="AJ64" s="872">
        <v>0</v>
      </c>
      <c r="AK64" s="872"/>
      <c r="AL64" s="872"/>
      <c r="AM64" s="872"/>
      <c r="AN64" s="858">
        <v>0</v>
      </c>
      <c r="AO64" s="872">
        <v>0</v>
      </c>
      <c r="AP64" s="872">
        <v>0</v>
      </c>
      <c r="AQ64" s="872"/>
      <c r="AR64" s="872"/>
      <c r="AS64" s="872"/>
      <c r="AT64" s="858">
        <v>0</v>
      </c>
      <c r="AU64" s="872">
        <v>0</v>
      </c>
      <c r="AV64" s="872">
        <v>0</v>
      </c>
      <c r="AW64" s="872"/>
      <c r="AX64" s="872"/>
      <c r="AY64" s="872"/>
      <c r="AZ64" s="858">
        <v>0</v>
      </c>
      <c r="BA64" s="872">
        <v>0</v>
      </c>
      <c r="BB64" s="872">
        <v>0</v>
      </c>
      <c r="BC64" s="872"/>
      <c r="BD64" s="872"/>
      <c r="BE64" s="872"/>
      <c r="BF64" s="858">
        <v>0</v>
      </c>
      <c r="BG64" s="872">
        <v>0</v>
      </c>
      <c r="BH64" s="872">
        <v>0</v>
      </c>
      <c r="BI64" s="872"/>
      <c r="BJ64" s="872"/>
      <c r="BK64" s="872"/>
      <c r="BL64" s="858">
        <v>0</v>
      </c>
      <c r="BM64" s="872">
        <v>0</v>
      </c>
      <c r="BN64" s="872">
        <v>0</v>
      </c>
      <c r="BO64" s="872"/>
      <c r="BP64" s="872"/>
      <c r="BQ64" s="872"/>
      <c r="BR64" s="858">
        <v>0</v>
      </c>
      <c r="BS64" s="872">
        <v>0</v>
      </c>
      <c r="BT64" s="872">
        <v>0</v>
      </c>
      <c r="BU64" s="872"/>
      <c r="BV64" s="872"/>
      <c r="BW64" s="872"/>
      <c r="BX64" s="858">
        <v>0</v>
      </c>
      <c r="BY64" s="872">
        <v>0</v>
      </c>
      <c r="BZ64" s="872">
        <v>0</v>
      </c>
      <c r="CA64" s="872"/>
      <c r="CB64" s="872"/>
      <c r="CC64" s="872"/>
      <c r="CD64" s="858">
        <v>0</v>
      </c>
      <c r="CE64" s="872">
        <v>0</v>
      </c>
      <c r="CF64" s="872">
        <v>0</v>
      </c>
      <c r="CG64" s="872"/>
      <c r="CH64" s="872"/>
      <c r="CI64" s="872"/>
      <c r="CJ64" s="858">
        <v>0</v>
      </c>
      <c r="CK64" s="872">
        <v>0</v>
      </c>
      <c r="CL64" s="872">
        <v>0</v>
      </c>
      <c r="CM64" s="872"/>
      <c r="CN64" s="872"/>
      <c r="CO64" s="872"/>
      <c r="CP64" s="858">
        <v>0</v>
      </c>
      <c r="CQ64" s="872">
        <v>0</v>
      </c>
      <c r="CR64" s="872">
        <v>0</v>
      </c>
      <c r="CS64" s="872"/>
      <c r="CT64" s="872"/>
      <c r="CU64" s="872"/>
      <c r="CV64" s="858">
        <v>0</v>
      </c>
      <c r="CW64" s="872">
        <v>0</v>
      </c>
      <c r="CX64" s="872">
        <v>0</v>
      </c>
      <c r="CY64" s="872"/>
      <c r="CZ64" s="872"/>
      <c r="DA64" s="872"/>
      <c r="DB64" s="858">
        <v>0</v>
      </c>
      <c r="DC64" s="872">
        <v>0</v>
      </c>
      <c r="DD64" s="872">
        <v>0</v>
      </c>
      <c r="DE64" s="874">
        <v>0</v>
      </c>
      <c r="DF64" s="858" t="s">
        <v>1441</v>
      </c>
      <c r="DG64" s="871">
        <v>1</v>
      </c>
      <c r="DH64" s="858">
        <v>1440.55136615385</v>
      </c>
      <c r="DI64" s="872">
        <v>1297.79402356202</v>
      </c>
      <c r="DJ64" s="872">
        <v>142.757342591823</v>
      </c>
      <c r="DK64" s="874">
        <v>1</v>
      </c>
      <c r="DL64" s="872"/>
      <c r="DM64" s="872"/>
      <c r="DN64" s="858">
        <v>0</v>
      </c>
      <c r="DO64" s="872">
        <v>0</v>
      </c>
      <c r="DP64" s="872">
        <v>0</v>
      </c>
      <c r="DQ64" s="872">
        <v>0</v>
      </c>
    </row>
    <row r="65" s="861" customFormat="1" ht="14.25" customHeight="1" spans="1:121">
      <c r="A65" s="852">
        <v>63</v>
      </c>
      <c r="B65" s="853" t="s">
        <v>1345</v>
      </c>
      <c r="C65" s="858" t="s">
        <v>1346</v>
      </c>
      <c r="D65" s="873" t="s">
        <v>1388</v>
      </c>
      <c r="E65" s="869">
        <v>221.1</v>
      </c>
      <c r="F65" s="870">
        <v>0.11</v>
      </c>
      <c r="G65" s="871">
        <v>0</v>
      </c>
      <c r="H65" s="858" t="s">
        <v>1441</v>
      </c>
      <c r="I65" s="871">
        <v>0</v>
      </c>
      <c r="J65" s="858">
        <v>0</v>
      </c>
      <c r="K65" s="872">
        <v>0</v>
      </c>
      <c r="L65" s="872">
        <v>0</v>
      </c>
      <c r="M65" s="874">
        <v>0</v>
      </c>
      <c r="N65" s="858"/>
      <c r="O65" s="872"/>
      <c r="P65" s="858">
        <v>0</v>
      </c>
      <c r="Q65" s="872">
        <v>0</v>
      </c>
      <c r="R65" s="872">
        <v>0</v>
      </c>
      <c r="S65" s="872"/>
      <c r="T65" s="872"/>
      <c r="U65" s="872"/>
      <c r="V65" s="858">
        <v>0</v>
      </c>
      <c r="W65" s="872">
        <v>0</v>
      </c>
      <c r="X65" s="872">
        <v>0</v>
      </c>
      <c r="Y65" s="872"/>
      <c r="Z65" s="872"/>
      <c r="AA65" s="872"/>
      <c r="AB65" s="858">
        <v>0</v>
      </c>
      <c r="AC65" s="872">
        <v>0</v>
      </c>
      <c r="AD65" s="872">
        <v>0</v>
      </c>
      <c r="AE65" s="872"/>
      <c r="AF65" s="872"/>
      <c r="AG65" s="872"/>
      <c r="AH65" s="858">
        <v>0</v>
      </c>
      <c r="AI65" s="872">
        <v>0</v>
      </c>
      <c r="AJ65" s="872">
        <v>0</v>
      </c>
      <c r="AK65" s="872"/>
      <c r="AL65" s="872"/>
      <c r="AM65" s="872"/>
      <c r="AN65" s="858">
        <v>0</v>
      </c>
      <c r="AO65" s="872">
        <v>0</v>
      </c>
      <c r="AP65" s="872">
        <v>0</v>
      </c>
      <c r="AQ65" s="872"/>
      <c r="AR65" s="872"/>
      <c r="AS65" s="872"/>
      <c r="AT65" s="858">
        <v>0</v>
      </c>
      <c r="AU65" s="872">
        <v>0</v>
      </c>
      <c r="AV65" s="872">
        <v>0</v>
      </c>
      <c r="AW65" s="872"/>
      <c r="AX65" s="872"/>
      <c r="AY65" s="872"/>
      <c r="AZ65" s="858">
        <v>0</v>
      </c>
      <c r="BA65" s="872">
        <v>0</v>
      </c>
      <c r="BB65" s="872">
        <v>0</v>
      </c>
      <c r="BC65" s="872"/>
      <c r="BD65" s="872"/>
      <c r="BE65" s="872"/>
      <c r="BF65" s="858">
        <v>0</v>
      </c>
      <c r="BG65" s="872">
        <v>0</v>
      </c>
      <c r="BH65" s="872">
        <v>0</v>
      </c>
      <c r="BI65" s="872"/>
      <c r="BJ65" s="872"/>
      <c r="BK65" s="872"/>
      <c r="BL65" s="858">
        <v>0</v>
      </c>
      <c r="BM65" s="872">
        <v>0</v>
      </c>
      <c r="BN65" s="872">
        <v>0</v>
      </c>
      <c r="BO65" s="872"/>
      <c r="BP65" s="858"/>
      <c r="BQ65" s="871"/>
      <c r="BR65" s="858">
        <v>0</v>
      </c>
      <c r="BS65" s="872">
        <v>0</v>
      </c>
      <c r="BT65" s="872">
        <v>0</v>
      </c>
      <c r="BU65" s="874"/>
      <c r="BV65" s="872"/>
      <c r="BW65" s="872"/>
      <c r="BX65" s="858">
        <v>0</v>
      </c>
      <c r="BY65" s="872">
        <v>0</v>
      </c>
      <c r="BZ65" s="872">
        <v>0</v>
      </c>
      <c r="CA65" s="872"/>
      <c r="CB65" s="872"/>
      <c r="CC65" s="872"/>
      <c r="CD65" s="858">
        <v>0</v>
      </c>
      <c r="CE65" s="872">
        <v>0</v>
      </c>
      <c r="CF65" s="872">
        <v>0</v>
      </c>
      <c r="CG65" s="872"/>
      <c r="CH65" s="858"/>
      <c r="CI65" s="871"/>
      <c r="CJ65" s="858">
        <v>0</v>
      </c>
      <c r="CK65" s="872">
        <v>0</v>
      </c>
      <c r="CL65" s="872">
        <v>0</v>
      </c>
      <c r="CM65" s="874">
        <v>0</v>
      </c>
      <c r="CN65" s="858" t="s">
        <v>1441</v>
      </c>
      <c r="CO65" s="871">
        <v>0.4</v>
      </c>
      <c r="CP65" s="858">
        <v>88.44</v>
      </c>
      <c r="CQ65" s="872">
        <v>79.6756756756757</v>
      </c>
      <c r="CR65" s="872">
        <v>8.76432432432433</v>
      </c>
      <c r="CS65" s="874">
        <v>0.4</v>
      </c>
      <c r="CT65" s="858" t="s">
        <v>1441</v>
      </c>
      <c r="CU65" s="871">
        <v>0.3</v>
      </c>
      <c r="CV65" s="858">
        <v>66.33</v>
      </c>
      <c r="CW65" s="872">
        <v>59.7567567567567</v>
      </c>
      <c r="CX65" s="872">
        <v>6.57324324324325</v>
      </c>
      <c r="CY65" s="874">
        <v>0.7</v>
      </c>
      <c r="CZ65" s="858" t="s">
        <v>1441</v>
      </c>
      <c r="DA65" s="871">
        <v>0.2</v>
      </c>
      <c r="DB65" s="858">
        <v>44.22</v>
      </c>
      <c r="DC65" s="872">
        <v>39.8378378378378</v>
      </c>
      <c r="DD65" s="872">
        <v>4.38216216216217</v>
      </c>
      <c r="DE65" s="874">
        <v>0.9</v>
      </c>
      <c r="DF65" s="858" t="s">
        <v>1441</v>
      </c>
      <c r="DG65" s="871">
        <v>0.05</v>
      </c>
      <c r="DH65" s="858">
        <v>11.055</v>
      </c>
      <c r="DI65" s="872">
        <v>9.95945945945946</v>
      </c>
      <c r="DJ65" s="872">
        <v>1.09554054054054</v>
      </c>
      <c r="DK65" s="874">
        <v>0.95</v>
      </c>
      <c r="DL65" s="858" t="s">
        <v>1441</v>
      </c>
      <c r="DM65" s="871">
        <v>0.05</v>
      </c>
      <c r="DN65" s="858">
        <v>11.055</v>
      </c>
      <c r="DO65" s="872">
        <v>9.95945945945946</v>
      </c>
      <c r="DP65" s="872">
        <v>1.09554054054054</v>
      </c>
      <c r="DQ65" s="872">
        <v>0</v>
      </c>
    </row>
    <row r="66" s="861" customFormat="1" ht="14.25" customHeight="1" spans="1:121">
      <c r="A66" s="852">
        <v>64</v>
      </c>
      <c r="B66" s="853" t="s">
        <v>1345</v>
      </c>
      <c r="C66" s="853" t="s">
        <v>1351</v>
      </c>
      <c r="D66" s="873" t="s">
        <v>1389</v>
      </c>
      <c r="E66" s="869">
        <v>704.453</v>
      </c>
      <c r="F66" s="870">
        <v>0.11</v>
      </c>
      <c r="G66" s="871">
        <v>0</v>
      </c>
      <c r="H66" s="858" t="s">
        <v>1441</v>
      </c>
      <c r="I66" s="871">
        <v>0</v>
      </c>
      <c r="J66" s="858">
        <v>0</v>
      </c>
      <c r="K66" s="872">
        <v>0</v>
      </c>
      <c r="L66" s="872">
        <v>0</v>
      </c>
      <c r="M66" s="874">
        <v>0</v>
      </c>
      <c r="N66" s="858"/>
      <c r="O66" s="872"/>
      <c r="P66" s="858">
        <v>0</v>
      </c>
      <c r="Q66" s="872">
        <v>0</v>
      </c>
      <c r="R66" s="872">
        <v>0</v>
      </c>
      <c r="S66" s="872"/>
      <c r="T66" s="872"/>
      <c r="U66" s="872"/>
      <c r="V66" s="858">
        <v>0</v>
      </c>
      <c r="W66" s="872">
        <v>0</v>
      </c>
      <c r="X66" s="872">
        <v>0</v>
      </c>
      <c r="Y66" s="872"/>
      <c r="Z66" s="872"/>
      <c r="AA66" s="872"/>
      <c r="AB66" s="858">
        <v>0</v>
      </c>
      <c r="AC66" s="872">
        <v>0</v>
      </c>
      <c r="AD66" s="872">
        <v>0</v>
      </c>
      <c r="AE66" s="872"/>
      <c r="AF66" s="872"/>
      <c r="AG66" s="872"/>
      <c r="AH66" s="858">
        <v>0</v>
      </c>
      <c r="AI66" s="872">
        <v>0</v>
      </c>
      <c r="AJ66" s="872">
        <v>0</v>
      </c>
      <c r="AK66" s="872"/>
      <c r="AL66" s="872"/>
      <c r="AM66" s="872"/>
      <c r="AN66" s="858">
        <v>0</v>
      </c>
      <c r="AO66" s="872">
        <v>0</v>
      </c>
      <c r="AP66" s="872">
        <v>0</v>
      </c>
      <c r="AQ66" s="872"/>
      <c r="AR66" s="872"/>
      <c r="AS66" s="872"/>
      <c r="AT66" s="858">
        <v>0</v>
      </c>
      <c r="AU66" s="872">
        <v>0</v>
      </c>
      <c r="AV66" s="872">
        <v>0</v>
      </c>
      <c r="AW66" s="872"/>
      <c r="AX66" s="872"/>
      <c r="AY66" s="872"/>
      <c r="AZ66" s="858">
        <v>0</v>
      </c>
      <c r="BA66" s="872">
        <v>0</v>
      </c>
      <c r="BB66" s="872">
        <v>0</v>
      </c>
      <c r="BC66" s="872"/>
      <c r="BD66" s="872"/>
      <c r="BE66" s="872"/>
      <c r="BF66" s="858">
        <v>0</v>
      </c>
      <c r="BG66" s="872">
        <v>0</v>
      </c>
      <c r="BH66" s="872">
        <v>0</v>
      </c>
      <c r="BI66" s="872"/>
      <c r="BJ66" s="872"/>
      <c r="BK66" s="872"/>
      <c r="BL66" s="858">
        <v>0</v>
      </c>
      <c r="BM66" s="872">
        <v>0</v>
      </c>
      <c r="BN66" s="872">
        <v>0</v>
      </c>
      <c r="BO66" s="872"/>
      <c r="BP66" s="872"/>
      <c r="BQ66" s="872"/>
      <c r="BR66" s="858">
        <v>0</v>
      </c>
      <c r="BS66" s="872">
        <v>0</v>
      </c>
      <c r="BT66" s="872">
        <v>0</v>
      </c>
      <c r="BU66" s="872"/>
      <c r="BV66" s="872"/>
      <c r="BW66" s="872"/>
      <c r="BX66" s="858">
        <v>0</v>
      </c>
      <c r="BY66" s="872">
        <v>0</v>
      </c>
      <c r="BZ66" s="872">
        <v>0</v>
      </c>
      <c r="CA66" s="872"/>
      <c r="CB66" s="872"/>
      <c r="CC66" s="872"/>
      <c r="CD66" s="858">
        <v>0</v>
      </c>
      <c r="CE66" s="872">
        <v>0</v>
      </c>
      <c r="CF66" s="872">
        <v>0</v>
      </c>
      <c r="CG66" s="872"/>
      <c r="CH66" s="872"/>
      <c r="CI66" s="872"/>
      <c r="CJ66" s="858">
        <v>0</v>
      </c>
      <c r="CK66" s="872">
        <v>0</v>
      </c>
      <c r="CL66" s="872">
        <v>0</v>
      </c>
      <c r="CM66" s="874">
        <v>0</v>
      </c>
      <c r="CN66" s="858" t="s">
        <v>1441</v>
      </c>
      <c r="CO66" s="871">
        <v>0.4</v>
      </c>
      <c r="CP66" s="858">
        <v>281.7812</v>
      </c>
      <c r="CQ66" s="872">
        <v>253.856936936937</v>
      </c>
      <c r="CR66" s="872">
        <v>27.9242630630631</v>
      </c>
      <c r="CS66" s="874">
        <v>0.4</v>
      </c>
      <c r="CT66" s="858" t="s">
        <v>1441</v>
      </c>
      <c r="CU66" s="871">
        <v>0.3</v>
      </c>
      <c r="CV66" s="858">
        <v>211.3359</v>
      </c>
      <c r="CW66" s="872">
        <v>190.392702702703</v>
      </c>
      <c r="CX66" s="872">
        <v>20.9431972972973</v>
      </c>
      <c r="CY66" s="874">
        <v>0.7</v>
      </c>
      <c r="CZ66" s="858" t="s">
        <v>1441</v>
      </c>
      <c r="DA66" s="871">
        <v>0.2</v>
      </c>
      <c r="DB66" s="858">
        <v>140.8906</v>
      </c>
      <c r="DC66" s="872">
        <v>126.928468468468</v>
      </c>
      <c r="DD66" s="872">
        <v>13.9621315315315</v>
      </c>
      <c r="DE66" s="874">
        <v>0.9</v>
      </c>
      <c r="DF66" s="858" t="s">
        <v>1441</v>
      </c>
      <c r="DG66" s="871">
        <v>0.05</v>
      </c>
      <c r="DH66" s="858">
        <v>35.22265</v>
      </c>
      <c r="DI66" s="872">
        <v>31.7321171171171</v>
      </c>
      <c r="DJ66" s="872">
        <v>3.49053288288288</v>
      </c>
      <c r="DK66" s="874">
        <v>0.95</v>
      </c>
      <c r="DL66" s="858" t="s">
        <v>1441</v>
      </c>
      <c r="DM66" s="871">
        <v>0.05</v>
      </c>
      <c r="DN66" s="858">
        <v>35.22265</v>
      </c>
      <c r="DO66" s="872">
        <v>31.7321171171171</v>
      </c>
      <c r="DP66" s="872">
        <v>3.49053288288288</v>
      </c>
      <c r="DQ66" s="872">
        <v>0</v>
      </c>
    </row>
    <row r="67" s="861" customFormat="1" ht="14.25" customHeight="1" spans="1:121">
      <c r="A67" s="852">
        <v>65</v>
      </c>
      <c r="B67" s="853" t="s">
        <v>1354</v>
      </c>
      <c r="C67" s="853" t="s">
        <v>1351</v>
      </c>
      <c r="D67" s="873" t="s">
        <v>1390</v>
      </c>
      <c r="E67" s="869">
        <v>0</v>
      </c>
      <c r="F67" s="870">
        <v>0.17</v>
      </c>
      <c r="G67" s="871">
        <v>0</v>
      </c>
      <c r="H67" s="858" t="s">
        <v>1441</v>
      </c>
      <c r="I67" s="871">
        <v>0</v>
      </c>
      <c r="J67" s="858">
        <v>0</v>
      </c>
      <c r="K67" s="872">
        <v>0</v>
      </c>
      <c r="L67" s="872">
        <v>0</v>
      </c>
      <c r="M67" s="874">
        <v>0</v>
      </c>
      <c r="N67" s="858"/>
      <c r="O67" s="872"/>
      <c r="P67" s="858">
        <v>0</v>
      </c>
      <c r="Q67" s="872">
        <v>0</v>
      </c>
      <c r="R67" s="872">
        <v>0</v>
      </c>
      <c r="S67" s="872"/>
      <c r="T67" s="872"/>
      <c r="U67" s="872"/>
      <c r="V67" s="858">
        <v>0</v>
      </c>
      <c r="W67" s="872">
        <v>0</v>
      </c>
      <c r="X67" s="872">
        <v>0</v>
      </c>
      <c r="Y67" s="872"/>
      <c r="Z67" s="872"/>
      <c r="AA67" s="872"/>
      <c r="AB67" s="858">
        <v>0</v>
      </c>
      <c r="AC67" s="872">
        <v>0</v>
      </c>
      <c r="AD67" s="872">
        <v>0</v>
      </c>
      <c r="AE67" s="872"/>
      <c r="AF67" s="872"/>
      <c r="AG67" s="872"/>
      <c r="AH67" s="858">
        <v>0</v>
      </c>
      <c r="AI67" s="872">
        <v>0</v>
      </c>
      <c r="AJ67" s="872">
        <v>0</v>
      </c>
      <c r="AK67" s="872"/>
      <c r="AL67" s="872"/>
      <c r="AM67" s="872"/>
      <c r="AN67" s="858">
        <v>0</v>
      </c>
      <c r="AO67" s="872">
        <v>0</v>
      </c>
      <c r="AP67" s="872">
        <v>0</v>
      </c>
      <c r="AQ67" s="872"/>
      <c r="AR67" s="872"/>
      <c r="AS67" s="872"/>
      <c r="AT67" s="858">
        <v>0</v>
      </c>
      <c r="AU67" s="872">
        <v>0</v>
      </c>
      <c r="AV67" s="872">
        <v>0</v>
      </c>
      <c r="AW67" s="872"/>
      <c r="AX67" s="872"/>
      <c r="AY67" s="872"/>
      <c r="AZ67" s="858">
        <v>0</v>
      </c>
      <c r="BA67" s="872">
        <v>0</v>
      </c>
      <c r="BB67" s="872">
        <v>0</v>
      </c>
      <c r="BC67" s="872"/>
      <c r="BD67" s="872"/>
      <c r="BE67" s="872"/>
      <c r="BF67" s="858">
        <v>0</v>
      </c>
      <c r="BG67" s="872">
        <v>0</v>
      </c>
      <c r="BH67" s="872">
        <v>0</v>
      </c>
      <c r="BI67" s="872"/>
      <c r="BJ67" s="872"/>
      <c r="BK67" s="872"/>
      <c r="BL67" s="858">
        <v>0</v>
      </c>
      <c r="BM67" s="872">
        <v>0</v>
      </c>
      <c r="BN67" s="872">
        <v>0</v>
      </c>
      <c r="BO67" s="874">
        <v>0</v>
      </c>
      <c r="BP67" s="858" t="s">
        <v>1441</v>
      </c>
      <c r="BQ67" s="871">
        <v>0.8</v>
      </c>
      <c r="BR67" s="858">
        <v>0</v>
      </c>
      <c r="BS67" s="872">
        <v>0</v>
      </c>
      <c r="BT67" s="872">
        <v>0</v>
      </c>
      <c r="BU67" s="874">
        <v>0.8</v>
      </c>
      <c r="BV67" s="872"/>
      <c r="BW67" s="872"/>
      <c r="BX67" s="858">
        <v>0</v>
      </c>
      <c r="BY67" s="872">
        <v>0</v>
      </c>
      <c r="BZ67" s="872">
        <v>0</v>
      </c>
      <c r="CA67" s="872"/>
      <c r="CB67" s="872"/>
      <c r="CC67" s="872"/>
      <c r="CD67" s="858">
        <v>0</v>
      </c>
      <c r="CE67" s="872">
        <v>0</v>
      </c>
      <c r="CF67" s="872">
        <v>0</v>
      </c>
      <c r="CG67" s="872"/>
      <c r="CH67" s="872"/>
      <c r="CI67" s="872"/>
      <c r="CJ67" s="858">
        <v>0</v>
      </c>
      <c r="CK67" s="872">
        <v>0</v>
      </c>
      <c r="CL67" s="872">
        <v>0</v>
      </c>
      <c r="CM67" s="872"/>
      <c r="CN67" s="872"/>
      <c r="CO67" s="872"/>
      <c r="CP67" s="858">
        <v>0</v>
      </c>
      <c r="CQ67" s="872">
        <v>0</v>
      </c>
      <c r="CR67" s="872">
        <v>0</v>
      </c>
      <c r="CS67" s="872"/>
      <c r="CT67" s="872"/>
      <c r="CU67" s="872"/>
      <c r="CV67" s="858">
        <v>0</v>
      </c>
      <c r="CW67" s="872">
        <v>0</v>
      </c>
      <c r="CX67" s="872">
        <v>0</v>
      </c>
      <c r="CY67" s="872"/>
      <c r="CZ67" s="872"/>
      <c r="DA67" s="872"/>
      <c r="DB67" s="858">
        <v>0</v>
      </c>
      <c r="DC67" s="872">
        <v>0</v>
      </c>
      <c r="DD67" s="872">
        <v>0</v>
      </c>
      <c r="DE67" s="874">
        <v>0.8</v>
      </c>
      <c r="DF67" s="858" t="s">
        <v>1441</v>
      </c>
      <c r="DG67" s="871">
        <v>0.2</v>
      </c>
      <c r="DH67" s="858">
        <v>0</v>
      </c>
      <c r="DI67" s="872">
        <v>0</v>
      </c>
      <c r="DJ67" s="872">
        <v>0</v>
      </c>
      <c r="DK67" s="874">
        <v>1</v>
      </c>
      <c r="DL67" s="872"/>
      <c r="DM67" s="872"/>
      <c r="DN67" s="858">
        <v>0</v>
      </c>
      <c r="DO67" s="872">
        <v>0</v>
      </c>
      <c r="DP67" s="872">
        <v>0</v>
      </c>
      <c r="DQ67" s="872">
        <v>0</v>
      </c>
    </row>
    <row r="68" s="861" customFormat="1" ht="14.25" customHeight="1" spans="1:121">
      <c r="A68" s="852">
        <v>66</v>
      </c>
      <c r="B68" s="853" t="s">
        <v>1345</v>
      </c>
      <c r="C68" s="853" t="s">
        <v>1351</v>
      </c>
      <c r="D68" s="873" t="s">
        <v>1073</v>
      </c>
      <c r="E68" s="869">
        <v>77.7011132875085</v>
      </c>
      <c r="F68" s="870">
        <v>0.11</v>
      </c>
      <c r="G68" s="871">
        <v>0</v>
      </c>
      <c r="H68" s="858" t="s">
        <v>1441</v>
      </c>
      <c r="I68" s="871">
        <v>0</v>
      </c>
      <c r="J68" s="858">
        <v>0</v>
      </c>
      <c r="K68" s="872">
        <v>0</v>
      </c>
      <c r="L68" s="872">
        <v>0</v>
      </c>
      <c r="M68" s="874">
        <v>0</v>
      </c>
      <c r="N68" s="858"/>
      <c r="O68" s="872"/>
      <c r="P68" s="858">
        <v>0</v>
      </c>
      <c r="Q68" s="872">
        <v>0</v>
      </c>
      <c r="R68" s="872">
        <v>0</v>
      </c>
      <c r="S68" s="872"/>
      <c r="T68" s="872"/>
      <c r="U68" s="872"/>
      <c r="V68" s="858">
        <v>0</v>
      </c>
      <c r="W68" s="872">
        <v>0</v>
      </c>
      <c r="X68" s="872">
        <v>0</v>
      </c>
      <c r="Y68" s="872"/>
      <c r="Z68" s="872"/>
      <c r="AA68" s="872"/>
      <c r="AB68" s="858">
        <v>0</v>
      </c>
      <c r="AC68" s="872">
        <v>0</v>
      </c>
      <c r="AD68" s="872">
        <v>0</v>
      </c>
      <c r="AE68" s="872"/>
      <c r="AF68" s="872"/>
      <c r="AG68" s="872"/>
      <c r="AH68" s="858">
        <v>0</v>
      </c>
      <c r="AI68" s="872">
        <v>0</v>
      </c>
      <c r="AJ68" s="872">
        <v>0</v>
      </c>
      <c r="AK68" s="872"/>
      <c r="AL68" s="872"/>
      <c r="AM68" s="872"/>
      <c r="AN68" s="858">
        <v>0</v>
      </c>
      <c r="AO68" s="872">
        <v>0</v>
      </c>
      <c r="AP68" s="872">
        <v>0</v>
      </c>
      <c r="AQ68" s="872"/>
      <c r="AR68" s="872"/>
      <c r="AS68" s="872"/>
      <c r="AT68" s="858">
        <v>0</v>
      </c>
      <c r="AU68" s="872">
        <v>0</v>
      </c>
      <c r="AV68" s="872">
        <v>0</v>
      </c>
      <c r="AW68" s="872"/>
      <c r="AX68" s="872"/>
      <c r="AY68" s="872"/>
      <c r="AZ68" s="858">
        <v>0</v>
      </c>
      <c r="BA68" s="872">
        <v>0</v>
      </c>
      <c r="BB68" s="872">
        <v>0</v>
      </c>
      <c r="BC68" s="872"/>
      <c r="BD68" s="872"/>
      <c r="BE68" s="872"/>
      <c r="BF68" s="858">
        <v>0</v>
      </c>
      <c r="BG68" s="872">
        <v>0</v>
      </c>
      <c r="BH68" s="872">
        <v>0</v>
      </c>
      <c r="BI68" s="872"/>
      <c r="BJ68" s="872"/>
      <c r="BK68" s="872"/>
      <c r="BL68" s="858">
        <v>0</v>
      </c>
      <c r="BM68" s="872">
        <v>0</v>
      </c>
      <c r="BN68" s="872">
        <v>0</v>
      </c>
      <c r="BO68" s="872"/>
      <c r="BP68" s="872"/>
      <c r="BQ68" s="872"/>
      <c r="BR68" s="858">
        <v>0</v>
      </c>
      <c r="BS68" s="872">
        <v>0</v>
      </c>
      <c r="BT68" s="872">
        <v>0</v>
      </c>
      <c r="BU68" s="872"/>
      <c r="BV68" s="872"/>
      <c r="BW68" s="872"/>
      <c r="BX68" s="858">
        <v>0</v>
      </c>
      <c r="BY68" s="872">
        <v>0</v>
      </c>
      <c r="BZ68" s="872">
        <v>0</v>
      </c>
      <c r="CA68" s="872"/>
      <c r="CB68" s="872"/>
      <c r="CC68" s="872"/>
      <c r="CD68" s="858">
        <v>0</v>
      </c>
      <c r="CE68" s="872">
        <v>0</v>
      </c>
      <c r="CF68" s="872">
        <v>0</v>
      </c>
      <c r="CG68" s="872"/>
      <c r="CH68" s="872"/>
      <c r="CI68" s="872"/>
      <c r="CJ68" s="858">
        <v>0</v>
      </c>
      <c r="CK68" s="872">
        <v>0</v>
      </c>
      <c r="CL68" s="872">
        <v>0</v>
      </c>
      <c r="CM68" s="872"/>
      <c r="CN68" s="872"/>
      <c r="CO68" s="872"/>
      <c r="CP68" s="858">
        <v>0</v>
      </c>
      <c r="CQ68" s="872">
        <v>0</v>
      </c>
      <c r="CR68" s="872">
        <v>0</v>
      </c>
      <c r="CS68" s="872"/>
      <c r="CT68" s="872"/>
      <c r="CU68" s="872"/>
      <c r="CV68" s="858">
        <v>0</v>
      </c>
      <c r="CW68" s="872">
        <v>0</v>
      </c>
      <c r="CX68" s="872">
        <v>0</v>
      </c>
      <c r="CY68" s="872"/>
      <c r="CZ68" s="872"/>
      <c r="DA68" s="872"/>
      <c r="DB68" s="858">
        <v>0</v>
      </c>
      <c r="DC68" s="872">
        <v>0</v>
      </c>
      <c r="DD68" s="872">
        <v>0</v>
      </c>
      <c r="DE68" s="874">
        <v>0</v>
      </c>
      <c r="DF68" s="858" t="s">
        <v>1441</v>
      </c>
      <c r="DG68" s="871">
        <v>1</v>
      </c>
      <c r="DH68" s="858">
        <v>77.7011132875085</v>
      </c>
      <c r="DI68" s="872">
        <v>70.0010029617194</v>
      </c>
      <c r="DJ68" s="872">
        <v>7.70011032578914</v>
      </c>
      <c r="DK68" s="874">
        <v>1</v>
      </c>
      <c r="DL68" s="872"/>
      <c r="DM68" s="872"/>
      <c r="DN68" s="858">
        <v>0</v>
      </c>
      <c r="DO68" s="872">
        <v>0</v>
      </c>
      <c r="DP68" s="872">
        <v>0</v>
      </c>
      <c r="DQ68" s="872">
        <v>0</v>
      </c>
    </row>
    <row r="69" s="861" customFormat="1" ht="14.25" customHeight="1" spans="1:121">
      <c r="A69" s="852">
        <v>67</v>
      </c>
      <c r="B69" s="853" t="s">
        <v>1345</v>
      </c>
      <c r="C69" s="853" t="s">
        <v>1351</v>
      </c>
      <c r="D69" s="873" t="s">
        <v>1391</v>
      </c>
      <c r="E69" s="869">
        <v>17.96642</v>
      </c>
      <c r="F69" s="870">
        <v>0.11</v>
      </c>
      <c r="G69" s="871">
        <v>0</v>
      </c>
      <c r="H69" s="858" t="s">
        <v>1441</v>
      </c>
      <c r="I69" s="871">
        <v>0</v>
      </c>
      <c r="J69" s="858">
        <v>0</v>
      </c>
      <c r="K69" s="872">
        <v>0</v>
      </c>
      <c r="L69" s="872">
        <v>0</v>
      </c>
      <c r="M69" s="874">
        <v>0</v>
      </c>
      <c r="N69" s="858"/>
      <c r="O69" s="872"/>
      <c r="P69" s="858">
        <v>0</v>
      </c>
      <c r="Q69" s="872">
        <v>0</v>
      </c>
      <c r="R69" s="872">
        <v>0</v>
      </c>
      <c r="S69" s="872"/>
      <c r="T69" s="872"/>
      <c r="U69" s="872"/>
      <c r="V69" s="858">
        <v>0</v>
      </c>
      <c r="W69" s="872">
        <v>0</v>
      </c>
      <c r="X69" s="872">
        <v>0</v>
      </c>
      <c r="Y69" s="872"/>
      <c r="Z69" s="872"/>
      <c r="AA69" s="872"/>
      <c r="AB69" s="858">
        <v>0</v>
      </c>
      <c r="AC69" s="872">
        <v>0</v>
      </c>
      <c r="AD69" s="872">
        <v>0</v>
      </c>
      <c r="AE69" s="872"/>
      <c r="AF69" s="872"/>
      <c r="AG69" s="872"/>
      <c r="AH69" s="858">
        <v>0</v>
      </c>
      <c r="AI69" s="872">
        <v>0</v>
      </c>
      <c r="AJ69" s="872">
        <v>0</v>
      </c>
      <c r="AK69" s="872"/>
      <c r="AL69" s="872"/>
      <c r="AM69" s="872"/>
      <c r="AN69" s="858">
        <v>0</v>
      </c>
      <c r="AO69" s="872">
        <v>0</v>
      </c>
      <c r="AP69" s="872">
        <v>0</v>
      </c>
      <c r="AQ69" s="872"/>
      <c r="AR69" s="872"/>
      <c r="AS69" s="872"/>
      <c r="AT69" s="858">
        <v>0</v>
      </c>
      <c r="AU69" s="872">
        <v>0</v>
      </c>
      <c r="AV69" s="872">
        <v>0</v>
      </c>
      <c r="AW69" s="872"/>
      <c r="AX69" s="872"/>
      <c r="AY69" s="872"/>
      <c r="AZ69" s="858">
        <v>0</v>
      </c>
      <c r="BA69" s="872">
        <v>0</v>
      </c>
      <c r="BB69" s="872">
        <v>0</v>
      </c>
      <c r="BC69" s="872"/>
      <c r="BD69" s="872"/>
      <c r="BE69" s="872"/>
      <c r="BF69" s="858">
        <v>0</v>
      </c>
      <c r="BG69" s="872">
        <v>0</v>
      </c>
      <c r="BH69" s="872">
        <v>0</v>
      </c>
      <c r="BI69" s="872"/>
      <c r="BJ69" s="872"/>
      <c r="BK69" s="872"/>
      <c r="BL69" s="858">
        <v>0</v>
      </c>
      <c r="BM69" s="872">
        <v>0</v>
      </c>
      <c r="BN69" s="872">
        <v>0</v>
      </c>
      <c r="BO69" s="872"/>
      <c r="BP69" s="872"/>
      <c r="BQ69" s="872"/>
      <c r="BR69" s="858">
        <v>0</v>
      </c>
      <c r="BS69" s="872">
        <v>0</v>
      </c>
      <c r="BT69" s="872">
        <v>0</v>
      </c>
      <c r="BU69" s="872"/>
      <c r="BV69" s="872"/>
      <c r="BW69" s="872"/>
      <c r="BX69" s="858">
        <v>0</v>
      </c>
      <c r="BY69" s="872">
        <v>0</v>
      </c>
      <c r="BZ69" s="872">
        <v>0</v>
      </c>
      <c r="CA69" s="872"/>
      <c r="CB69" s="872"/>
      <c r="CC69" s="872"/>
      <c r="CD69" s="858">
        <v>0</v>
      </c>
      <c r="CE69" s="872">
        <v>0</v>
      </c>
      <c r="CF69" s="872">
        <v>0</v>
      </c>
      <c r="CG69" s="872"/>
      <c r="CH69" s="872"/>
      <c r="CI69" s="872"/>
      <c r="CJ69" s="858">
        <v>0</v>
      </c>
      <c r="CK69" s="872">
        <v>0</v>
      </c>
      <c r="CL69" s="872">
        <v>0</v>
      </c>
      <c r="CM69" s="872"/>
      <c r="CN69" s="872"/>
      <c r="CO69" s="872"/>
      <c r="CP69" s="858">
        <v>0</v>
      </c>
      <c r="CQ69" s="872">
        <v>0</v>
      </c>
      <c r="CR69" s="872">
        <v>0</v>
      </c>
      <c r="CS69" s="872"/>
      <c r="CT69" s="872"/>
      <c r="CU69" s="872"/>
      <c r="CV69" s="858">
        <v>0</v>
      </c>
      <c r="CW69" s="872">
        <v>0</v>
      </c>
      <c r="CX69" s="872">
        <v>0</v>
      </c>
      <c r="CY69" s="872"/>
      <c r="CZ69" s="872"/>
      <c r="DA69" s="872"/>
      <c r="DB69" s="858">
        <v>0</v>
      </c>
      <c r="DC69" s="872">
        <v>0</v>
      </c>
      <c r="DD69" s="872">
        <v>0</v>
      </c>
      <c r="DE69" s="874">
        <v>0</v>
      </c>
      <c r="DF69" s="858" t="s">
        <v>1441</v>
      </c>
      <c r="DG69" s="871">
        <v>1</v>
      </c>
      <c r="DH69" s="858">
        <v>17.96642</v>
      </c>
      <c r="DI69" s="872">
        <v>16.185963963964</v>
      </c>
      <c r="DJ69" s="872">
        <v>1.78045603603604</v>
      </c>
      <c r="DK69" s="874">
        <v>1</v>
      </c>
      <c r="DL69" s="872"/>
      <c r="DM69" s="872"/>
      <c r="DN69" s="858">
        <v>0</v>
      </c>
      <c r="DO69" s="872">
        <v>0</v>
      </c>
      <c r="DP69" s="872">
        <v>0</v>
      </c>
      <c r="DQ69" s="872">
        <v>0</v>
      </c>
    </row>
    <row r="70" s="861" customFormat="1" ht="14.25" customHeight="1" spans="1:121">
      <c r="A70" s="852">
        <v>68</v>
      </c>
      <c r="B70" s="853" t="s">
        <v>1345</v>
      </c>
      <c r="C70" s="858" t="s">
        <v>1346</v>
      </c>
      <c r="D70" s="873" t="s">
        <v>993</v>
      </c>
      <c r="E70" s="869">
        <v>501.256108372281</v>
      </c>
      <c r="F70" s="870">
        <v>0.11</v>
      </c>
      <c r="G70" s="871">
        <v>0</v>
      </c>
      <c r="H70" s="858" t="s">
        <v>1441</v>
      </c>
      <c r="I70" s="871">
        <v>0</v>
      </c>
      <c r="J70" s="858">
        <v>0</v>
      </c>
      <c r="K70" s="872">
        <v>0</v>
      </c>
      <c r="L70" s="872">
        <v>0</v>
      </c>
      <c r="M70" s="874">
        <v>0</v>
      </c>
      <c r="N70" s="858"/>
      <c r="O70" s="872"/>
      <c r="P70" s="858">
        <v>0</v>
      </c>
      <c r="Q70" s="872">
        <v>0</v>
      </c>
      <c r="R70" s="872">
        <v>0</v>
      </c>
      <c r="S70" s="872"/>
      <c r="T70" s="872"/>
      <c r="U70" s="872"/>
      <c r="V70" s="858">
        <v>0</v>
      </c>
      <c r="W70" s="872">
        <v>0</v>
      </c>
      <c r="X70" s="872">
        <v>0</v>
      </c>
      <c r="Y70" s="872"/>
      <c r="Z70" s="872"/>
      <c r="AA70" s="872"/>
      <c r="AB70" s="858">
        <v>0</v>
      </c>
      <c r="AC70" s="872">
        <v>0</v>
      </c>
      <c r="AD70" s="872">
        <v>0</v>
      </c>
      <c r="AE70" s="872"/>
      <c r="AF70" s="872"/>
      <c r="AG70" s="872"/>
      <c r="AH70" s="858">
        <v>0</v>
      </c>
      <c r="AI70" s="872">
        <v>0</v>
      </c>
      <c r="AJ70" s="872">
        <v>0</v>
      </c>
      <c r="AK70" s="872"/>
      <c r="AL70" s="872"/>
      <c r="AM70" s="872"/>
      <c r="AN70" s="858">
        <v>0</v>
      </c>
      <c r="AO70" s="872">
        <v>0</v>
      </c>
      <c r="AP70" s="872">
        <v>0</v>
      </c>
      <c r="AQ70" s="872"/>
      <c r="AR70" s="872"/>
      <c r="AS70" s="872"/>
      <c r="AT70" s="858">
        <v>0</v>
      </c>
      <c r="AU70" s="872">
        <v>0</v>
      </c>
      <c r="AV70" s="872">
        <v>0</v>
      </c>
      <c r="AW70" s="872"/>
      <c r="AX70" s="872"/>
      <c r="AY70" s="872"/>
      <c r="AZ70" s="858">
        <v>0</v>
      </c>
      <c r="BA70" s="872">
        <v>0</v>
      </c>
      <c r="BB70" s="872">
        <v>0</v>
      </c>
      <c r="BC70" s="872"/>
      <c r="BD70" s="872"/>
      <c r="BE70" s="872"/>
      <c r="BF70" s="858">
        <v>0</v>
      </c>
      <c r="BG70" s="872">
        <v>0</v>
      </c>
      <c r="BH70" s="872">
        <v>0</v>
      </c>
      <c r="BI70" s="872"/>
      <c r="BJ70" s="872"/>
      <c r="BK70" s="872"/>
      <c r="BL70" s="858">
        <v>0</v>
      </c>
      <c r="BM70" s="872">
        <v>0</v>
      </c>
      <c r="BN70" s="872">
        <v>0</v>
      </c>
      <c r="BO70" s="872"/>
      <c r="BP70" s="872"/>
      <c r="BQ70" s="872"/>
      <c r="BR70" s="858">
        <v>0</v>
      </c>
      <c r="BS70" s="872">
        <v>0</v>
      </c>
      <c r="BT70" s="872">
        <v>0</v>
      </c>
      <c r="BU70" s="872"/>
      <c r="BV70" s="872"/>
      <c r="BW70" s="872"/>
      <c r="BX70" s="858">
        <v>0</v>
      </c>
      <c r="BY70" s="872">
        <v>0</v>
      </c>
      <c r="BZ70" s="872">
        <v>0</v>
      </c>
      <c r="CA70" s="872"/>
      <c r="CB70" s="872"/>
      <c r="CC70" s="872"/>
      <c r="CD70" s="858">
        <v>0</v>
      </c>
      <c r="CE70" s="872">
        <v>0</v>
      </c>
      <c r="CF70" s="872">
        <v>0</v>
      </c>
      <c r="CG70" s="872"/>
      <c r="CH70" s="872"/>
      <c r="CI70" s="872"/>
      <c r="CJ70" s="858">
        <v>0</v>
      </c>
      <c r="CK70" s="872">
        <v>0</v>
      </c>
      <c r="CL70" s="872">
        <v>0</v>
      </c>
      <c r="CM70" s="872"/>
      <c r="CN70" s="872"/>
      <c r="CO70" s="872"/>
      <c r="CP70" s="858">
        <v>0</v>
      </c>
      <c r="CQ70" s="872">
        <v>0</v>
      </c>
      <c r="CR70" s="872">
        <v>0</v>
      </c>
      <c r="CS70" s="872"/>
      <c r="CT70" s="872"/>
      <c r="CU70" s="872"/>
      <c r="CV70" s="858">
        <v>0</v>
      </c>
      <c r="CW70" s="872">
        <v>0</v>
      </c>
      <c r="CX70" s="872">
        <v>0</v>
      </c>
      <c r="CY70" s="871">
        <v>0</v>
      </c>
      <c r="CZ70" s="858" t="s">
        <v>1441</v>
      </c>
      <c r="DA70" s="871">
        <v>0.85</v>
      </c>
      <c r="DB70" s="858">
        <v>426.067692116439</v>
      </c>
      <c r="DC70" s="872">
        <v>383.844767672467</v>
      </c>
      <c r="DD70" s="872">
        <v>42.2229244439714</v>
      </c>
      <c r="DE70" s="874">
        <v>0.85</v>
      </c>
      <c r="DF70" s="858" t="s">
        <v>1441</v>
      </c>
      <c r="DG70" s="871">
        <v>0.1</v>
      </c>
      <c r="DH70" s="858">
        <v>50.1256108372281</v>
      </c>
      <c r="DI70" s="872">
        <v>45.1582079614667</v>
      </c>
      <c r="DJ70" s="872">
        <v>4.96740287576134</v>
      </c>
      <c r="DK70" s="874">
        <v>0.95</v>
      </c>
      <c r="DL70" s="858" t="s">
        <v>1441</v>
      </c>
      <c r="DM70" s="871">
        <v>0.05</v>
      </c>
      <c r="DN70" s="858">
        <v>25.062805418614</v>
      </c>
      <c r="DO70" s="872">
        <v>22.5791039807334</v>
      </c>
      <c r="DP70" s="872">
        <v>2.48370143788067</v>
      </c>
      <c r="DQ70" s="872">
        <v>0</v>
      </c>
    </row>
    <row r="71" s="861" customFormat="1" ht="14.25" customHeight="1" spans="1:121">
      <c r="A71" s="852">
        <v>69</v>
      </c>
      <c r="B71" s="853" t="s">
        <v>1345</v>
      </c>
      <c r="C71" s="858" t="s">
        <v>1346</v>
      </c>
      <c r="D71" s="873" t="s">
        <v>1392</v>
      </c>
      <c r="E71" s="869">
        <v>280.4878869</v>
      </c>
      <c r="F71" s="870">
        <v>0.11</v>
      </c>
      <c r="G71" s="871">
        <v>0</v>
      </c>
      <c r="H71" s="858" t="s">
        <v>1441</v>
      </c>
      <c r="I71" s="871">
        <v>0</v>
      </c>
      <c r="J71" s="858">
        <v>0</v>
      </c>
      <c r="K71" s="872">
        <v>0</v>
      </c>
      <c r="L71" s="872">
        <v>0</v>
      </c>
      <c r="M71" s="874">
        <v>0</v>
      </c>
      <c r="N71" s="858"/>
      <c r="O71" s="872"/>
      <c r="P71" s="858">
        <v>0</v>
      </c>
      <c r="Q71" s="872">
        <v>0</v>
      </c>
      <c r="R71" s="872">
        <v>0</v>
      </c>
      <c r="S71" s="872"/>
      <c r="T71" s="872"/>
      <c r="U71" s="872"/>
      <c r="V71" s="858">
        <v>0</v>
      </c>
      <c r="W71" s="872">
        <v>0</v>
      </c>
      <c r="X71" s="872">
        <v>0</v>
      </c>
      <c r="Y71" s="872"/>
      <c r="Z71" s="872"/>
      <c r="AA71" s="872"/>
      <c r="AB71" s="858">
        <v>0</v>
      </c>
      <c r="AC71" s="872">
        <v>0</v>
      </c>
      <c r="AD71" s="872">
        <v>0</v>
      </c>
      <c r="AE71" s="872"/>
      <c r="AF71" s="872"/>
      <c r="AG71" s="872"/>
      <c r="AH71" s="858">
        <v>0</v>
      </c>
      <c r="AI71" s="872">
        <v>0</v>
      </c>
      <c r="AJ71" s="872">
        <v>0</v>
      </c>
      <c r="AK71" s="872"/>
      <c r="AL71" s="872"/>
      <c r="AM71" s="872"/>
      <c r="AN71" s="858">
        <v>0</v>
      </c>
      <c r="AO71" s="872">
        <v>0</v>
      </c>
      <c r="AP71" s="872">
        <v>0</v>
      </c>
      <c r="AQ71" s="872"/>
      <c r="AR71" s="872"/>
      <c r="AS71" s="872"/>
      <c r="AT71" s="858">
        <v>0</v>
      </c>
      <c r="AU71" s="872">
        <v>0</v>
      </c>
      <c r="AV71" s="872">
        <v>0</v>
      </c>
      <c r="AW71" s="872"/>
      <c r="AX71" s="872"/>
      <c r="AY71" s="872"/>
      <c r="AZ71" s="858">
        <v>0</v>
      </c>
      <c r="BA71" s="872">
        <v>0</v>
      </c>
      <c r="BB71" s="872">
        <v>0</v>
      </c>
      <c r="BC71" s="872"/>
      <c r="BD71" s="872"/>
      <c r="BE71" s="872"/>
      <c r="BF71" s="858">
        <v>0</v>
      </c>
      <c r="BG71" s="872">
        <v>0</v>
      </c>
      <c r="BH71" s="872">
        <v>0</v>
      </c>
      <c r="BI71" s="872"/>
      <c r="BJ71" s="872"/>
      <c r="BK71" s="872"/>
      <c r="BL71" s="858">
        <v>0</v>
      </c>
      <c r="BM71" s="872">
        <v>0</v>
      </c>
      <c r="BN71" s="872">
        <v>0</v>
      </c>
      <c r="BO71" s="872"/>
      <c r="BP71" s="872"/>
      <c r="BQ71" s="872"/>
      <c r="BR71" s="858">
        <v>0</v>
      </c>
      <c r="BS71" s="872">
        <v>0</v>
      </c>
      <c r="BT71" s="872">
        <v>0</v>
      </c>
      <c r="BU71" s="872"/>
      <c r="BV71" s="872"/>
      <c r="BW71" s="872"/>
      <c r="BX71" s="858">
        <v>0</v>
      </c>
      <c r="BY71" s="872">
        <v>0</v>
      </c>
      <c r="BZ71" s="872">
        <v>0</v>
      </c>
      <c r="CA71" s="872"/>
      <c r="CB71" s="872"/>
      <c r="CC71" s="872"/>
      <c r="CD71" s="858">
        <v>0</v>
      </c>
      <c r="CE71" s="872">
        <v>0</v>
      </c>
      <c r="CF71" s="872">
        <v>0</v>
      </c>
      <c r="CG71" s="872"/>
      <c r="CH71" s="872"/>
      <c r="CI71" s="872"/>
      <c r="CJ71" s="858">
        <v>0</v>
      </c>
      <c r="CK71" s="872">
        <v>0</v>
      </c>
      <c r="CL71" s="872">
        <v>0</v>
      </c>
      <c r="CM71" s="872"/>
      <c r="CN71" s="872"/>
      <c r="CO71" s="872"/>
      <c r="CP71" s="858">
        <v>0</v>
      </c>
      <c r="CQ71" s="872">
        <v>0</v>
      </c>
      <c r="CR71" s="872">
        <v>0</v>
      </c>
      <c r="CS71" s="874">
        <v>0</v>
      </c>
      <c r="CT71" s="858" t="s">
        <v>1441</v>
      </c>
      <c r="CU71" s="871">
        <v>0.8</v>
      </c>
      <c r="CV71" s="858">
        <v>224.39030952</v>
      </c>
      <c r="CW71" s="872">
        <v>202.153432</v>
      </c>
      <c r="CX71" s="872">
        <v>22.23687752</v>
      </c>
      <c r="CY71" s="874">
        <v>0.8</v>
      </c>
      <c r="CZ71" s="872"/>
      <c r="DA71" s="872"/>
      <c r="DB71" s="858">
        <v>0</v>
      </c>
      <c r="DC71" s="872">
        <v>0</v>
      </c>
      <c r="DD71" s="872">
        <v>0</v>
      </c>
      <c r="DE71" s="874">
        <v>0.8</v>
      </c>
      <c r="DF71" s="858" t="s">
        <v>1441</v>
      </c>
      <c r="DG71" s="871">
        <v>0.2</v>
      </c>
      <c r="DH71" s="858">
        <v>56.09757738</v>
      </c>
      <c r="DI71" s="872">
        <v>50.538358</v>
      </c>
      <c r="DJ71" s="872">
        <v>5.55921938</v>
      </c>
      <c r="DK71" s="874">
        <v>1</v>
      </c>
      <c r="DL71" s="872"/>
      <c r="DM71" s="872"/>
      <c r="DN71" s="858">
        <v>0</v>
      </c>
      <c r="DO71" s="872">
        <v>0</v>
      </c>
      <c r="DP71" s="872">
        <v>0</v>
      </c>
      <c r="DQ71" s="872">
        <v>0</v>
      </c>
    </row>
    <row r="72" s="861" customFormat="1" ht="14.25" customHeight="1" spans="1:121">
      <c r="A72" s="852">
        <v>70</v>
      </c>
      <c r="B72" s="853" t="s">
        <v>1345</v>
      </c>
      <c r="C72" s="858" t="s">
        <v>1346</v>
      </c>
      <c r="D72" s="873" t="s">
        <v>1393</v>
      </c>
      <c r="E72" s="869">
        <v>419.380332822722</v>
      </c>
      <c r="F72" s="870">
        <v>0.11</v>
      </c>
      <c r="G72" s="871"/>
      <c r="H72" s="872"/>
      <c r="I72" s="871"/>
      <c r="J72" s="858">
        <v>0</v>
      </c>
      <c r="K72" s="872">
        <v>0</v>
      </c>
      <c r="L72" s="872">
        <v>0</v>
      </c>
      <c r="M72" s="872"/>
      <c r="N72" s="872"/>
      <c r="O72" s="872"/>
      <c r="P72" s="858">
        <v>0</v>
      </c>
      <c r="Q72" s="872">
        <v>0</v>
      </c>
      <c r="R72" s="872">
        <v>0</v>
      </c>
      <c r="S72" s="872"/>
      <c r="T72" s="872"/>
      <c r="U72" s="872"/>
      <c r="V72" s="858">
        <v>0</v>
      </c>
      <c r="W72" s="872">
        <v>0</v>
      </c>
      <c r="X72" s="872">
        <v>0</v>
      </c>
      <c r="Y72" s="872"/>
      <c r="Z72" s="872"/>
      <c r="AA72" s="872"/>
      <c r="AB72" s="858">
        <v>0</v>
      </c>
      <c r="AC72" s="872">
        <v>0</v>
      </c>
      <c r="AD72" s="872">
        <v>0</v>
      </c>
      <c r="AE72" s="872"/>
      <c r="AF72" s="872"/>
      <c r="AG72" s="872"/>
      <c r="AH72" s="858">
        <v>0</v>
      </c>
      <c r="AI72" s="872">
        <v>0</v>
      </c>
      <c r="AJ72" s="872">
        <v>0</v>
      </c>
      <c r="AK72" s="872"/>
      <c r="AL72" s="872"/>
      <c r="AM72" s="872"/>
      <c r="AN72" s="858">
        <v>0</v>
      </c>
      <c r="AO72" s="872">
        <v>0</v>
      </c>
      <c r="AP72" s="872">
        <v>0</v>
      </c>
      <c r="AQ72" s="872"/>
      <c r="AR72" s="872"/>
      <c r="AS72" s="872"/>
      <c r="AT72" s="858">
        <v>0</v>
      </c>
      <c r="AU72" s="872">
        <v>0</v>
      </c>
      <c r="AV72" s="872">
        <v>0</v>
      </c>
      <c r="AW72" s="872"/>
      <c r="AX72" s="872"/>
      <c r="AY72" s="872"/>
      <c r="AZ72" s="858">
        <v>0</v>
      </c>
      <c r="BA72" s="872">
        <v>0</v>
      </c>
      <c r="BB72" s="872">
        <v>0</v>
      </c>
      <c r="BC72" s="872"/>
      <c r="BD72" s="872"/>
      <c r="BE72" s="872"/>
      <c r="BF72" s="858">
        <v>0</v>
      </c>
      <c r="BG72" s="872">
        <v>0</v>
      </c>
      <c r="BH72" s="872">
        <v>0</v>
      </c>
      <c r="BI72" s="872"/>
      <c r="BJ72" s="872"/>
      <c r="BK72" s="872"/>
      <c r="BL72" s="858">
        <v>0</v>
      </c>
      <c r="BM72" s="872">
        <v>0</v>
      </c>
      <c r="BN72" s="872">
        <v>0</v>
      </c>
      <c r="BO72" s="872"/>
      <c r="BP72" s="872"/>
      <c r="BQ72" s="872"/>
      <c r="BR72" s="858">
        <v>0</v>
      </c>
      <c r="BS72" s="872">
        <v>0</v>
      </c>
      <c r="BT72" s="872">
        <v>0</v>
      </c>
      <c r="BU72" s="872"/>
      <c r="BV72" s="872"/>
      <c r="BW72" s="872"/>
      <c r="BX72" s="858">
        <v>0</v>
      </c>
      <c r="BY72" s="872">
        <v>0</v>
      </c>
      <c r="BZ72" s="872">
        <v>0</v>
      </c>
      <c r="CA72" s="872"/>
      <c r="CB72" s="872"/>
      <c r="CC72" s="872"/>
      <c r="CD72" s="858">
        <v>0</v>
      </c>
      <c r="CE72" s="872">
        <v>0</v>
      </c>
      <c r="CF72" s="872">
        <v>0</v>
      </c>
      <c r="CG72" s="872"/>
      <c r="CH72" s="872"/>
      <c r="CI72" s="872"/>
      <c r="CJ72" s="858">
        <v>0</v>
      </c>
      <c r="CK72" s="872">
        <v>0</v>
      </c>
      <c r="CL72" s="872">
        <v>0</v>
      </c>
      <c r="CM72" s="874">
        <v>0</v>
      </c>
      <c r="CN72" s="858" t="s">
        <v>1441</v>
      </c>
      <c r="CO72" s="874">
        <v>0.6</v>
      </c>
      <c r="CP72" s="858">
        <v>251.628199693633</v>
      </c>
      <c r="CQ72" s="872">
        <v>226.692071796066</v>
      </c>
      <c r="CR72" s="872">
        <v>24.9361278975673</v>
      </c>
      <c r="CS72" s="874">
        <v>0.6</v>
      </c>
      <c r="CT72" s="858" t="s">
        <v>1442</v>
      </c>
      <c r="CU72" s="874">
        <v>0.35</v>
      </c>
      <c r="CV72" s="858">
        <v>146.783116487953</v>
      </c>
      <c r="CW72" s="872">
        <v>132.237041881039</v>
      </c>
      <c r="CX72" s="872">
        <v>14.5460746069143</v>
      </c>
      <c r="CY72" s="874">
        <v>0.95</v>
      </c>
      <c r="CZ72" s="858"/>
      <c r="DA72" s="874">
        <v>0</v>
      </c>
      <c r="DB72" s="858">
        <v>0</v>
      </c>
      <c r="DC72" s="872">
        <v>0</v>
      </c>
      <c r="DD72" s="872">
        <v>0</v>
      </c>
      <c r="DE72" s="874">
        <v>0.95</v>
      </c>
      <c r="DF72" s="858"/>
      <c r="DG72" s="874">
        <v>0</v>
      </c>
      <c r="DH72" s="858">
        <v>0</v>
      </c>
      <c r="DI72" s="872">
        <v>0</v>
      </c>
      <c r="DJ72" s="872">
        <v>0</v>
      </c>
      <c r="DK72" s="874">
        <v>0.95</v>
      </c>
      <c r="DL72" s="858" t="s">
        <v>1443</v>
      </c>
      <c r="DM72" s="874">
        <v>0.05</v>
      </c>
      <c r="DN72" s="858">
        <v>20.9690166411361</v>
      </c>
      <c r="DO72" s="872">
        <v>18.8910059830055</v>
      </c>
      <c r="DP72" s="872">
        <v>2.07801065813061</v>
      </c>
      <c r="DQ72" s="872">
        <v>0</v>
      </c>
    </row>
    <row r="73" s="861" customFormat="1" ht="14.25" customHeight="1" spans="1:121">
      <c r="A73" s="852">
        <v>71</v>
      </c>
      <c r="B73" s="853" t="s">
        <v>1345</v>
      </c>
      <c r="C73" s="858" t="s">
        <v>1346</v>
      </c>
      <c r="D73" s="873" t="s">
        <v>1394</v>
      </c>
      <c r="E73" s="869">
        <v>79.78932</v>
      </c>
      <c r="F73" s="870">
        <v>0.17</v>
      </c>
      <c r="G73" s="871"/>
      <c r="H73" s="872"/>
      <c r="I73" s="871"/>
      <c r="J73" s="858">
        <v>0</v>
      </c>
      <c r="K73" s="872">
        <v>0</v>
      </c>
      <c r="L73" s="872">
        <v>0</v>
      </c>
      <c r="M73" s="872"/>
      <c r="N73" s="872"/>
      <c r="O73" s="872"/>
      <c r="P73" s="858">
        <v>0</v>
      </c>
      <c r="Q73" s="872">
        <v>0</v>
      </c>
      <c r="R73" s="872">
        <v>0</v>
      </c>
      <c r="S73" s="872"/>
      <c r="T73" s="872"/>
      <c r="U73" s="872"/>
      <c r="V73" s="858">
        <v>0</v>
      </c>
      <c r="W73" s="872">
        <v>0</v>
      </c>
      <c r="X73" s="872">
        <v>0</v>
      </c>
      <c r="Y73" s="872"/>
      <c r="Z73" s="872"/>
      <c r="AA73" s="872"/>
      <c r="AB73" s="858">
        <v>0</v>
      </c>
      <c r="AC73" s="872">
        <v>0</v>
      </c>
      <c r="AD73" s="872">
        <v>0</v>
      </c>
      <c r="AE73" s="872"/>
      <c r="AF73" s="872"/>
      <c r="AG73" s="872"/>
      <c r="AH73" s="858">
        <v>0</v>
      </c>
      <c r="AI73" s="872">
        <v>0</v>
      </c>
      <c r="AJ73" s="872">
        <v>0</v>
      </c>
      <c r="AK73" s="872"/>
      <c r="AL73" s="872"/>
      <c r="AM73" s="872"/>
      <c r="AN73" s="858">
        <v>0</v>
      </c>
      <c r="AO73" s="872">
        <v>0</v>
      </c>
      <c r="AP73" s="872">
        <v>0</v>
      </c>
      <c r="AQ73" s="872"/>
      <c r="AR73" s="872"/>
      <c r="AS73" s="872"/>
      <c r="AT73" s="858">
        <v>0</v>
      </c>
      <c r="AU73" s="872">
        <v>0</v>
      </c>
      <c r="AV73" s="872">
        <v>0</v>
      </c>
      <c r="AW73" s="872"/>
      <c r="AX73" s="872"/>
      <c r="AY73" s="872"/>
      <c r="AZ73" s="858">
        <v>0</v>
      </c>
      <c r="BA73" s="872">
        <v>0</v>
      </c>
      <c r="BB73" s="872">
        <v>0</v>
      </c>
      <c r="BC73" s="872"/>
      <c r="BD73" s="872"/>
      <c r="BE73" s="872"/>
      <c r="BF73" s="858">
        <v>0</v>
      </c>
      <c r="BG73" s="872">
        <v>0</v>
      </c>
      <c r="BH73" s="872">
        <v>0</v>
      </c>
      <c r="BI73" s="872"/>
      <c r="BJ73" s="872"/>
      <c r="BK73" s="872"/>
      <c r="BL73" s="858">
        <v>0</v>
      </c>
      <c r="BM73" s="872">
        <v>0</v>
      </c>
      <c r="BN73" s="872">
        <v>0</v>
      </c>
      <c r="BO73" s="872"/>
      <c r="BP73" s="872"/>
      <c r="BQ73" s="872"/>
      <c r="BR73" s="858">
        <v>0</v>
      </c>
      <c r="BS73" s="872">
        <v>0</v>
      </c>
      <c r="BT73" s="872">
        <v>0</v>
      </c>
      <c r="BU73" s="872"/>
      <c r="BV73" s="872"/>
      <c r="BW73" s="872"/>
      <c r="BX73" s="858">
        <v>0</v>
      </c>
      <c r="BY73" s="872">
        <v>0</v>
      </c>
      <c r="BZ73" s="872">
        <v>0</v>
      </c>
      <c r="CA73" s="872"/>
      <c r="CB73" s="872"/>
      <c r="CC73" s="872"/>
      <c r="CD73" s="858">
        <v>0</v>
      </c>
      <c r="CE73" s="872">
        <v>0</v>
      </c>
      <c r="CF73" s="872">
        <v>0</v>
      </c>
      <c r="CG73" s="872"/>
      <c r="CH73" s="872"/>
      <c r="CI73" s="872"/>
      <c r="CJ73" s="858">
        <v>0</v>
      </c>
      <c r="CK73" s="872">
        <v>0</v>
      </c>
      <c r="CL73" s="872">
        <v>0</v>
      </c>
      <c r="CM73" s="874">
        <v>0</v>
      </c>
      <c r="CN73" s="858" t="s">
        <v>1441</v>
      </c>
      <c r="CO73" s="874">
        <v>0.6</v>
      </c>
      <c r="CP73" s="858">
        <v>47.873592</v>
      </c>
      <c r="CQ73" s="872">
        <v>40.9176</v>
      </c>
      <c r="CR73" s="872">
        <v>6.95599199999999</v>
      </c>
      <c r="CS73" s="874">
        <v>0.6</v>
      </c>
      <c r="CT73" s="858" t="s">
        <v>1442</v>
      </c>
      <c r="CU73" s="874">
        <v>0.35</v>
      </c>
      <c r="CV73" s="858">
        <v>27.926262</v>
      </c>
      <c r="CW73" s="872">
        <v>23.8686</v>
      </c>
      <c r="CX73" s="872">
        <v>4.057662</v>
      </c>
      <c r="CY73" s="874">
        <v>0.95</v>
      </c>
      <c r="CZ73" s="858"/>
      <c r="DA73" s="874">
        <v>0</v>
      </c>
      <c r="DB73" s="858">
        <v>0</v>
      </c>
      <c r="DC73" s="872">
        <v>0</v>
      </c>
      <c r="DD73" s="872">
        <v>0</v>
      </c>
      <c r="DE73" s="874">
        <v>0.95</v>
      </c>
      <c r="DF73" s="858"/>
      <c r="DG73" s="874">
        <v>0</v>
      </c>
      <c r="DH73" s="858">
        <v>0</v>
      </c>
      <c r="DI73" s="872">
        <v>0</v>
      </c>
      <c r="DJ73" s="872">
        <v>0</v>
      </c>
      <c r="DK73" s="874">
        <v>0.95</v>
      </c>
      <c r="DL73" s="858" t="s">
        <v>1443</v>
      </c>
      <c r="DM73" s="874">
        <v>0.05</v>
      </c>
      <c r="DN73" s="858">
        <v>3.989466</v>
      </c>
      <c r="DO73" s="872">
        <v>3.4098</v>
      </c>
      <c r="DP73" s="872">
        <v>0.579666</v>
      </c>
      <c r="DQ73" s="872">
        <v>0</v>
      </c>
    </row>
    <row r="74" s="861" customFormat="1" ht="14.25" customHeight="1" spans="1:121">
      <c r="A74" s="852">
        <v>72</v>
      </c>
      <c r="B74" s="853" t="s">
        <v>1345</v>
      </c>
      <c r="C74" s="858" t="s">
        <v>1346</v>
      </c>
      <c r="D74" s="873" t="s">
        <v>1395</v>
      </c>
      <c r="E74" s="869">
        <v>0</v>
      </c>
      <c r="F74" s="870">
        <v>0.11</v>
      </c>
      <c r="G74" s="871"/>
      <c r="H74" s="872"/>
      <c r="I74" s="871"/>
      <c r="J74" s="858">
        <v>0</v>
      </c>
      <c r="K74" s="872">
        <v>0</v>
      </c>
      <c r="L74" s="872">
        <v>0</v>
      </c>
      <c r="M74" s="872"/>
      <c r="N74" s="872"/>
      <c r="O74" s="872"/>
      <c r="P74" s="858">
        <v>0</v>
      </c>
      <c r="Q74" s="872">
        <v>0</v>
      </c>
      <c r="R74" s="872">
        <v>0</v>
      </c>
      <c r="S74" s="872"/>
      <c r="T74" s="872"/>
      <c r="U74" s="872"/>
      <c r="V74" s="858">
        <v>0</v>
      </c>
      <c r="W74" s="872">
        <v>0</v>
      </c>
      <c r="X74" s="872">
        <v>0</v>
      </c>
      <c r="Y74" s="872"/>
      <c r="Z74" s="872"/>
      <c r="AA74" s="872"/>
      <c r="AB74" s="858">
        <v>0</v>
      </c>
      <c r="AC74" s="872">
        <v>0</v>
      </c>
      <c r="AD74" s="872">
        <v>0</v>
      </c>
      <c r="AE74" s="872"/>
      <c r="AF74" s="872"/>
      <c r="AG74" s="872"/>
      <c r="AH74" s="858">
        <v>0</v>
      </c>
      <c r="AI74" s="872">
        <v>0</v>
      </c>
      <c r="AJ74" s="872">
        <v>0</v>
      </c>
      <c r="AK74" s="872"/>
      <c r="AL74" s="872"/>
      <c r="AM74" s="872"/>
      <c r="AN74" s="858">
        <v>0</v>
      </c>
      <c r="AO74" s="872">
        <v>0</v>
      </c>
      <c r="AP74" s="872">
        <v>0</v>
      </c>
      <c r="AQ74" s="872"/>
      <c r="AR74" s="872"/>
      <c r="AS74" s="872"/>
      <c r="AT74" s="858">
        <v>0</v>
      </c>
      <c r="AU74" s="872">
        <v>0</v>
      </c>
      <c r="AV74" s="872">
        <v>0</v>
      </c>
      <c r="AW74" s="872"/>
      <c r="AX74" s="872"/>
      <c r="AY74" s="872"/>
      <c r="AZ74" s="858">
        <v>0</v>
      </c>
      <c r="BA74" s="872">
        <v>0</v>
      </c>
      <c r="BB74" s="872">
        <v>0</v>
      </c>
      <c r="BC74" s="872"/>
      <c r="BD74" s="872"/>
      <c r="BE74" s="872"/>
      <c r="BF74" s="858">
        <v>0</v>
      </c>
      <c r="BG74" s="872">
        <v>0</v>
      </c>
      <c r="BH74" s="872">
        <v>0</v>
      </c>
      <c r="BI74" s="872"/>
      <c r="BJ74" s="872"/>
      <c r="BK74" s="872"/>
      <c r="BL74" s="858">
        <v>0</v>
      </c>
      <c r="BM74" s="872">
        <v>0</v>
      </c>
      <c r="BN74" s="872">
        <v>0</v>
      </c>
      <c r="BO74" s="872"/>
      <c r="BP74" s="872"/>
      <c r="BQ74" s="872"/>
      <c r="BR74" s="858">
        <v>0</v>
      </c>
      <c r="BS74" s="872">
        <v>0</v>
      </c>
      <c r="BT74" s="872">
        <v>0</v>
      </c>
      <c r="BU74" s="872"/>
      <c r="BV74" s="872"/>
      <c r="BW74" s="872"/>
      <c r="BX74" s="858">
        <v>0</v>
      </c>
      <c r="BY74" s="872">
        <v>0</v>
      </c>
      <c r="BZ74" s="872">
        <v>0</v>
      </c>
      <c r="CA74" s="872"/>
      <c r="CB74" s="872"/>
      <c r="CC74" s="872"/>
      <c r="CD74" s="858">
        <v>0</v>
      </c>
      <c r="CE74" s="872">
        <v>0</v>
      </c>
      <c r="CF74" s="872">
        <v>0</v>
      </c>
      <c r="CG74" s="872"/>
      <c r="CH74" s="872"/>
      <c r="CI74" s="872"/>
      <c r="CJ74" s="858">
        <v>0</v>
      </c>
      <c r="CK74" s="872">
        <v>0</v>
      </c>
      <c r="CL74" s="872">
        <v>0</v>
      </c>
      <c r="CM74" s="874">
        <v>0</v>
      </c>
      <c r="CN74" s="858" t="s">
        <v>1441</v>
      </c>
      <c r="CO74" s="874">
        <v>0.6</v>
      </c>
      <c r="CP74" s="858">
        <v>0</v>
      </c>
      <c r="CQ74" s="872">
        <v>0</v>
      </c>
      <c r="CR74" s="872">
        <v>0</v>
      </c>
      <c r="CS74" s="874">
        <v>0.6</v>
      </c>
      <c r="CT74" s="858" t="s">
        <v>1442</v>
      </c>
      <c r="CU74" s="874">
        <v>0.35</v>
      </c>
      <c r="CV74" s="858">
        <v>0</v>
      </c>
      <c r="CW74" s="872">
        <v>0</v>
      </c>
      <c r="CX74" s="872">
        <v>0</v>
      </c>
      <c r="CY74" s="874">
        <v>0.95</v>
      </c>
      <c r="CZ74" s="858"/>
      <c r="DA74" s="874">
        <v>0</v>
      </c>
      <c r="DB74" s="858">
        <v>0</v>
      </c>
      <c r="DC74" s="872">
        <v>0</v>
      </c>
      <c r="DD74" s="872">
        <v>0</v>
      </c>
      <c r="DE74" s="874">
        <v>0.95</v>
      </c>
      <c r="DF74" s="858"/>
      <c r="DG74" s="874">
        <v>0</v>
      </c>
      <c r="DH74" s="858">
        <v>0</v>
      </c>
      <c r="DI74" s="872">
        <v>0</v>
      </c>
      <c r="DJ74" s="872">
        <v>0</v>
      </c>
      <c r="DK74" s="874">
        <v>0.95</v>
      </c>
      <c r="DL74" s="858" t="s">
        <v>1443</v>
      </c>
      <c r="DM74" s="874">
        <v>0.05</v>
      </c>
      <c r="DN74" s="858">
        <v>0</v>
      </c>
      <c r="DO74" s="872">
        <v>0</v>
      </c>
      <c r="DP74" s="872">
        <v>0</v>
      </c>
      <c r="DQ74" s="872">
        <v>0</v>
      </c>
    </row>
    <row r="75" s="861" customFormat="1" ht="14.25" customHeight="1" spans="1:121">
      <c r="A75" s="852">
        <v>73</v>
      </c>
      <c r="B75" s="853" t="s">
        <v>1345</v>
      </c>
      <c r="C75" s="858" t="s">
        <v>1346</v>
      </c>
      <c r="D75" s="873" t="s">
        <v>1396</v>
      </c>
      <c r="E75" s="869">
        <v>199.0008</v>
      </c>
      <c r="F75" s="878">
        <v>0.11</v>
      </c>
      <c r="G75" s="871"/>
      <c r="H75" s="872"/>
      <c r="I75" s="871"/>
      <c r="J75" s="858">
        <v>0</v>
      </c>
      <c r="K75" s="872">
        <v>0</v>
      </c>
      <c r="L75" s="872">
        <v>0</v>
      </c>
      <c r="M75" s="872"/>
      <c r="N75" s="872"/>
      <c r="O75" s="872"/>
      <c r="P75" s="858">
        <v>0</v>
      </c>
      <c r="Q75" s="872">
        <v>0</v>
      </c>
      <c r="R75" s="872">
        <v>0</v>
      </c>
      <c r="S75" s="872"/>
      <c r="T75" s="872"/>
      <c r="U75" s="872"/>
      <c r="V75" s="858">
        <v>0</v>
      </c>
      <c r="W75" s="872">
        <v>0</v>
      </c>
      <c r="X75" s="872">
        <v>0</v>
      </c>
      <c r="Y75" s="872"/>
      <c r="Z75" s="872"/>
      <c r="AA75" s="872"/>
      <c r="AB75" s="858">
        <v>0</v>
      </c>
      <c r="AC75" s="872">
        <v>0</v>
      </c>
      <c r="AD75" s="872">
        <v>0</v>
      </c>
      <c r="AE75" s="872"/>
      <c r="AF75" s="872"/>
      <c r="AG75" s="872"/>
      <c r="AH75" s="858">
        <v>0</v>
      </c>
      <c r="AI75" s="872">
        <v>0</v>
      </c>
      <c r="AJ75" s="872">
        <v>0</v>
      </c>
      <c r="AK75" s="872"/>
      <c r="AL75" s="872"/>
      <c r="AM75" s="872"/>
      <c r="AN75" s="858">
        <v>0</v>
      </c>
      <c r="AO75" s="872">
        <v>0</v>
      </c>
      <c r="AP75" s="872">
        <v>0</v>
      </c>
      <c r="AQ75" s="872"/>
      <c r="AR75" s="872"/>
      <c r="AS75" s="872"/>
      <c r="AT75" s="858">
        <v>0</v>
      </c>
      <c r="AU75" s="872">
        <v>0</v>
      </c>
      <c r="AV75" s="872">
        <v>0</v>
      </c>
      <c r="AW75" s="872"/>
      <c r="AX75" s="872"/>
      <c r="AY75" s="872"/>
      <c r="AZ75" s="858">
        <v>0</v>
      </c>
      <c r="BA75" s="872">
        <v>0</v>
      </c>
      <c r="BB75" s="872">
        <v>0</v>
      </c>
      <c r="BC75" s="872"/>
      <c r="BD75" s="872"/>
      <c r="BE75" s="872"/>
      <c r="BF75" s="858">
        <v>0</v>
      </c>
      <c r="BG75" s="872">
        <v>0</v>
      </c>
      <c r="BH75" s="872">
        <v>0</v>
      </c>
      <c r="BI75" s="872"/>
      <c r="BJ75" s="872"/>
      <c r="BK75" s="872"/>
      <c r="BL75" s="858">
        <v>0</v>
      </c>
      <c r="BM75" s="872">
        <v>0</v>
      </c>
      <c r="BN75" s="872">
        <v>0</v>
      </c>
      <c r="BO75" s="872"/>
      <c r="BP75" s="872"/>
      <c r="BQ75" s="872"/>
      <c r="BR75" s="858">
        <v>0</v>
      </c>
      <c r="BS75" s="872">
        <v>0</v>
      </c>
      <c r="BT75" s="872">
        <v>0</v>
      </c>
      <c r="BU75" s="872"/>
      <c r="BV75" s="872"/>
      <c r="BW75" s="872"/>
      <c r="BX75" s="858">
        <v>0</v>
      </c>
      <c r="BY75" s="872">
        <v>0</v>
      </c>
      <c r="BZ75" s="872">
        <v>0</v>
      </c>
      <c r="CA75" s="872"/>
      <c r="CB75" s="872"/>
      <c r="CC75" s="872"/>
      <c r="CD75" s="858">
        <v>0</v>
      </c>
      <c r="CE75" s="872">
        <v>0</v>
      </c>
      <c r="CF75" s="872">
        <v>0</v>
      </c>
      <c r="CG75" s="872"/>
      <c r="CH75" s="872"/>
      <c r="CI75" s="872"/>
      <c r="CJ75" s="858">
        <v>0</v>
      </c>
      <c r="CK75" s="872">
        <v>0</v>
      </c>
      <c r="CL75" s="872">
        <v>0</v>
      </c>
      <c r="CM75" s="874">
        <v>0</v>
      </c>
      <c r="CN75" s="858" t="s">
        <v>1441</v>
      </c>
      <c r="CO75" s="874">
        <v>0.6</v>
      </c>
      <c r="CP75" s="858">
        <v>119.40048</v>
      </c>
      <c r="CQ75" s="872">
        <v>107.568</v>
      </c>
      <c r="CR75" s="872">
        <v>11.83248</v>
      </c>
      <c r="CS75" s="874">
        <v>0.6</v>
      </c>
      <c r="CT75" s="858" t="s">
        <v>1442</v>
      </c>
      <c r="CU75" s="874">
        <v>0.35</v>
      </c>
      <c r="CV75" s="858">
        <v>69.65028</v>
      </c>
      <c r="CW75" s="872">
        <v>62.748</v>
      </c>
      <c r="CX75" s="872">
        <v>6.90228</v>
      </c>
      <c r="CY75" s="874">
        <v>0.95</v>
      </c>
      <c r="CZ75" s="858"/>
      <c r="DA75" s="874">
        <v>0</v>
      </c>
      <c r="DB75" s="858">
        <v>0</v>
      </c>
      <c r="DC75" s="872">
        <v>0</v>
      </c>
      <c r="DD75" s="872">
        <v>0</v>
      </c>
      <c r="DE75" s="874">
        <v>0.95</v>
      </c>
      <c r="DF75" s="858"/>
      <c r="DG75" s="874">
        <v>0</v>
      </c>
      <c r="DH75" s="858">
        <v>0</v>
      </c>
      <c r="DI75" s="872">
        <v>0</v>
      </c>
      <c r="DJ75" s="872">
        <v>0</v>
      </c>
      <c r="DK75" s="874">
        <v>0.95</v>
      </c>
      <c r="DL75" s="858" t="s">
        <v>1443</v>
      </c>
      <c r="DM75" s="874">
        <v>0.05</v>
      </c>
      <c r="DN75" s="858">
        <v>9.95004</v>
      </c>
      <c r="DO75" s="872">
        <v>8.964</v>
      </c>
      <c r="DP75" s="872">
        <v>0.986040000000001</v>
      </c>
      <c r="DQ75" s="872">
        <v>0</v>
      </c>
    </row>
    <row r="76" s="861" customFormat="1" ht="14.25" customHeight="1" spans="1:121">
      <c r="A76" s="852">
        <v>74</v>
      </c>
      <c r="B76" s="853" t="s">
        <v>1345</v>
      </c>
      <c r="C76" s="853" t="s">
        <v>1351</v>
      </c>
      <c r="D76" s="873" t="s">
        <v>956</v>
      </c>
      <c r="E76" s="869">
        <v>2401.410224</v>
      </c>
      <c r="F76" s="870">
        <v>0.11</v>
      </c>
      <c r="G76" s="871"/>
      <c r="H76" s="872"/>
      <c r="I76" s="871"/>
      <c r="J76" s="858">
        <v>0</v>
      </c>
      <c r="K76" s="872">
        <v>0</v>
      </c>
      <c r="L76" s="872">
        <v>0</v>
      </c>
      <c r="M76" s="872"/>
      <c r="N76" s="872"/>
      <c r="O76" s="872"/>
      <c r="P76" s="858">
        <v>0</v>
      </c>
      <c r="Q76" s="872">
        <v>0</v>
      </c>
      <c r="R76" s="872">
        <v>0</v>
      </c>
      <c r="S76" s="872"/>
      <c r="T76" s="872"/>
      <c r="U76" s="872"/>
      <c r="V76" s="858">
        <v>0</v>
      </c>
      <c r="W76" s="872">
        <v>0</v>
      </c>
      <c r="X76" s="872">
        <v>0</v>
      </c>
      <c r="Y76" s="872"/>
      <c r="Z76" s="872"/>
      <c r="AA76" s="872"/>
      <c r="AB76" s="858">
        <v>0</v>
      </c>
      <c r="AC76" s="872">
        <v>0</v>
      </c>
      <c r="AD76" s="872">
        <v>0</v>
      </c>
      <c r="AE76" s="872"/>
      <c r="AF76" s="872"/>
      <c r="AG76" s="872"/>
      <c r="AH76" s="858">
        <v>0</v>
      </c>
      <c r="AI76" s="872">
        <v>0</v>
      </c>
      <c r="AJ76" s="872">
        <v>0</v>
      </c>
      <c r="AK76" s="872"/>
      <c r="AL76" s="872"/>
      <c r="AM76" s="872"/>
      <c r="AN76" s="858">
        <v>0</v>
      </c>
      <c r="AO76" s="872">
        <v>0</v>
      </c>
      <c r="AP76" s="872">
        <v>0</v>
      </c>
      <c r="AQ76" s="872"/>
      <c r="AR76" s="872"/>
      <c r="AS76" s="872"/>
      <c r="AT76" s="858">
        <v>0</v>
      </c>
      <c r="AU76" s="872">
        <v>0</v>
      </c>
      <c r="AV76" s="872">
        <v>0</v>
      </c>
      <c r="AW76" s="872"/>
      <c r="AX76" s="872"/>
      <c r="AY76" s="872"/>
      <c r="AZ76" s="858">
        <v>0</v>
      </c>
      <c r="BA76" s="872">
        <v>0</v>
      </c>
      <c r="BB76" s="872">
        <v>0</v>
      </c>
      <c r="BC76" s="872"/>
      <c r="BD76" s="872"/>
      <c r="BE76" s="872"/>
      <c r="BF76" s="858">
        <v>0</v>
      </c>
      <c r="BG76" s="872">
        <v>0</v>
      </c>
      <c r="BH76" s="872">
        <v>0</v>
      </c>
      <c r="BI76" s="872"/>
      <c r="BJ76" s="872"/>
      <c r="BK76" s="872"/>
      <c r="BL76" s="858">
        <v>0</v>
      </c>
      <c r="BM76" s="872">
        <v>0</v>
      </c>
      <c r="BN76" s="872">
        <v>0</v>
      </c>
      <c r="BO76" s="872"/>
      <c r="BP76" s="872"/>
      <c r="BQ76" s="872"/>
      <c r="BR76" s="858">
        <v>0</v>
      </c>
      <c r="BS76" s="872">
        <v>0</v>
      </c>
      <c r="BT76" s="872">
        <v>0</v>
      </c>
      <c r="BU76" s="874">
        <v>0</v>
      </c>
      <c r="BV76" s="858" t="s">
        <v>1441</v>
      </c>
      <c r="BW76" s="874">
        <v>0.5</v>
      </c>
      <c r="BX76" s="858">
        <v>1200.705112</v>
      </c>
      <c r="BY76" s="872">
        <v>1081.71631711712</v>
      </c>
      <c r="BZ76" s="872">
        <v>118.988794882883</v>
      </c>
      <c r="CA76" s="874">
        <v>0.5</v>
      </c>
      <c r="CB76" s="858" t="s">
        <v>1442</v>
      </c>
      <c r="CC76" s="874">
        <v>0.45</v>
      </c>
      <c r="CD76" s="858">
        <v>1080.6346008</v>
      </c>
      <c r="CE76" s="872">
        <v>973.544685405405</v>
      </c>
      <c r="CF76" s="872">
        <v>107.089915394595</v>
      </c>
      <c r="CG76" s="874">
        <v>0.95</v>
      </c>
      <c r="CH76" s="858"/>
      <c r="CI76" s="874">
        <v>0</v>
      </c>
      <c r="CJ76" s="858">
        <v>0</v>
      </c>
      <c r="CK76" s="872">
        <v>0</v>
      </c>
      <c r="CL76" s="872">
        <v>0</v>
      </c>
      <c r="CM76" s="874">
        <v>0.95</v>
      </c>
      <c r="CN76" s="858"/>
      <c r="CO76" s="874">
        <v>0</v>
      </c>
      <c r="CP76" s="858">
        <v>0</v>
      </c>
      <c r="CQ76" s="872">
        <v>0</v>
      </c>
      <c r="CR76" s="872">
        <v>0</v>
      </c>
      <c r="CS76" s="874">
        <v>0.95</v>
      </c>
      <c r="CT76" s="858"/>
      <c r="CU76" s="874">
        <v>0</v>
      </c>
      <c r="CV76" s="858">
        <v>0</v>
      </c>
      <c r="CW76" s="872">
        <v>0</v>
      </c>
      <c r="CX76" s="872">
        <v>0</v>
      </c>
      <c r="CY76" s="874">
        <v>0.95</v>
      </c>
      <c r="CZ76" s="858"/>
      <c r="DA76" s="874">
        <v>0</v>
      </c>
      <c r="DB76" s="858">
        <v>0</v>
      </c>
      <c r="DC76" s="872">
        <v>0</v>
      </c>
      <c r="DD76" s="872">
        <v>0</v>
      </c>
      <c r="DE76" s="874">
        <v>0.95</v>
      </c>
      <c r="DF76" s="858"/>
      <c r="DG76" s="874">
        <v>0</v>
      </c>
      <c r="DH76" s="858">
        <v>0</v>
      </c>
      <c r="DI76" s="872">
        <v>0</v>
      </c>
      <c r="DJ76" s="872">
        <v>0</v>
      </c>
      <c r="DK76" s="874">
        <v>0.95</v>
      </c>
      <c r="DL76" s="858" t="s">
        <v>1443</v>
      </c>
      <c r="DM76" s="874">
        <v>0.05</v>
      </c>
      <c r="DN76" s="858">
        <v>120.0705112</v>
      </c>
      <c r="DO76" s="872">
        <v>108.171631711712</v>
      </c>
      <c r="DP76" s="872">
        <v>11.8988794882883</v>
      </c>
      <c r="DQ76" s="872">
        <v>0</v>
      </c>
    </row>
    <row r="77" s="861" customFormat="1" ht="14.25" customHeight="1" spans="1:121">
      <c r="A77" s="852">
        <v>75</v>
      </c>
      <c r="B77" s="853" t="s">
        <v>1345</v>
      </c>
      <c r="C77" s="853" t="s">
        <v>1351</v>
      </c>
      <c r="D77" s="873" t="s">
        <v>959</v>
      </c>
      <c r="E77" s="869">
        <v>0</v>
      </c>
      <c r="F77" s="870">
        <v>0.17</v>
      </c>
      <c r="G77" s="871"/>
      <c r="H77" s="872"/>
      <c r="I77" s="871"/>
      <c r="J77" s="858">
        <v>0</v>
      </c>
      <c r="K77" s="872">
        <v>0</v>
      </c>
      <c r="L77" s="872">
        <v>0</v>
      </c>
      <c r="M77" s="872"/>
      <c r="N77" s="872"/>
      <c r="O77" s="872"/>
      <c r="P77" s="858">
        <v>0</v>
      </c>
      <c r="Q77" s="872">
        <v>0</v>
      </c>
      <c r="R77" s="872">
        <v>0</v>
      </c>
      <c r="S77" s="872"/>
      <c r="T77" s="872"/>
      <c r="U77" s="872"/>
      <c r="V77" s="858">
        <v>0</v>
      </c>
      <c r="W77" s="872">
        <v>0</v>
      </c>
      <c r="X77" s="872">
        <v>0</v>
      </c>
      <c r="Y77" s="872"/>
      <c r="Z77" s="872"/>
      <c r="AA77" s="872"/>
      <c r="AB77" s="858">
        <v>0</v>
      </c>
      <c r="AC77" s="872">
        <v>0</v>
      </c>
      <c r="AD77" s="872">
        <v>0</v>
      </c>
      <c r="AE77" s="872"/>
      <c r="AF77" s="872"/>
      <c r="AG77" s="872"/>
      <c r="AH77" s="858">
        <v>0</v>
      </c>
      <c r="AI77" s="872">
        <v>0</v>
      </c>
      <c r="AJ77" s="872">
        <v>0</v>
      </c>
      <c r="AK77" s="872"/>
      <c r="AL77" s="872"/>
      <c r="AM77" s="872"/>
      <c r="AN77" s="858">
        <v>0</v>
      </c>
      <c r="AO77" s="872">
        <v>0</v>
      </c>
      <c r="AP77" s="872">
        <v>0</v>
      </c>
      <c r="AQ77" s="872"/>
      <c r="AR77" s="872"/>
      <c r="AS77" s="872"/>
      <c r="AT77" s="858">
        <v>0</v>
      </c>
      <c r="AU77" s="872">
        <v>0</v>
      </c>
      <c r="AV77" s="872">
        <v>0</v>
      </c>
      <c r="AW77" s="872"/>
      <c r="AX77" s="872"/>
      <c r="AY77" s="872"/>
      <c r="AZ77" s="858">
        <v>0</v>
      </c>
      <c r="BA77" s="872">
        <v>0</v>
      </c>
      <c r="BB77" s="872">
        <v>0</v>
      </c>
      <c r="BC77" s="872"/>
      <c r="BD77" s="872"/>
      <c r="BE77" s="872"/>
      <c r="BF77" s="858">
        <v>0</v>
      </c>
      <c r="BG77" s="872">
        <v>0</v>
      </c>
      <c r="BH77" s="872">
        <v>0</v>
      </c>
      <c r="BI77" s="872"/>
      <c r="BJ77" s="872"/>
      <c r="BK77" s="872"/>
      <c r="BL77" s="858">
        <v>0</v>
      </c>
      <c r="BM77" s="872">
        <v>0</v>
      </c>
      <c r="BN77" s="872">
        <v>0</v>
      </c>
      <c r="BO77" s="872"/>
      <c r="BP77" s="872"/>
      <c r="BQ77" s="872"/>
      <c r="BR77" s="858">
        <v>0</v>
      </c>
      <c r="BS77" s="872">
        <v>0</v>
      </c>
      <c r="BT77" s="872">
        <v>0</v>
      </c>
      <c r="BU77" s="874">
        <v>0</v>
      </c>
      <c r="BV77" s="858" t="s">
        <v>1441</v>
      </c>
      <c r="BW77" s="874">
        <v>0.5</v>
      </c>
      <c r="BX77" s="858">
        <v>0</v>
      </c>
      <c r="BY77" s="872">
        <v>0</v>
      </c>
      <c r="BZ77" s="872">
        <v>0</v>
      </c>
      <c r="CA77" s="874">
        <v>0.5</v>
      </c>
      <c r="CB77" s="858" t="s">
        <v>1442</v>
      </c>
      <c r="CC77" s="874">
        <v>0.45</v>
      </c>
      <c r="CD77" s="858">
        <v>0</v>
      </c>
      <c r="CE77" s="872">
        <v>0</v>
      </c>
      <c r="CF77" s="872">
        <v>0</v>
      </c>
      <c r="CG77" s="874">
        <v>0.95</v>
      </c>
      <c r="CH77" s="858"/>
      <c r="CI77" s="874">
        <v>0</v>
      </c>
      <c r="CJ77" s="858">
        <v>0</v>
      </c>
      <c r="CK77" s="872">
        <v>0</v>
      </c>
      <c r="CL77" s="872">
        <v>0</v>
      </c>
      <c r="CM77" s="874">
        <v>0.95</v>
      </c>
      <c r="CN77" s="858"/>
      <c r="CO77" s="874">
        <v>0</v>
      </c>
      <c r="CP77" s="858">
        <v>0</v>
      </c>
      <c r="CQ77" s="872">
        <v>0</v>
      </c>
      <c r="CR77" s="872">
        <v>0</v>
      </c>
      <c r="CS77" s="874">
        <v>0.95</v>
      </c>
      <c r="CT77" s="858"/>
      <c r="CU77" s="874">
        <v>0</v>
      </c>
      <c r="CV77" s="858">
        <v>0</v>
      </c>
      <c r="CW77" s="872">
        <v>0</v>
      </c>
      <c r="CX77" s="872">
        <v>0</v>
      </c>
      <c r="CY77" s="874">
        <v>0.95</v>
      </c>
      <c r="CZ77" s="858"/>
      <c r="DA77" s="874">
        <v>0</v>
      </c>
      <c r="DB77" s="858">
        <v>0</v>
      </c>
      <c r="DC77" s="872">
        <v>0</v>
      </c>
      <c r="DD77" s="872">
        <v>0</v>
      </c>
      <c r="DE77" s="874">
        <v>0.95</v>
      </c>
      <c r="DF77" s="858"/>
      <c r="DG77" s="874">
        <v>0</v>
      </c>
      <c r="DH77" s="858">
        <v>0</v>
      </c>
      <c r="DI77" s="872">
        <v>0</v>
      </c>
      <c r="DJ77" s="872">
        <v>0</v>
      </c>
      <c r="DK77" s="874">
        <v>0.95</v>
      </c>
      <c r="DL77" s="858" t="s">
        <v>1443</v>
      </c>
      <c r="DM77" s="874">
        <v>0.05</v>
      </c>
      <c r="DN77" s="858">
        <v>0</v>
      </c>
      <c r="DO77" s="872">
        <v>0</v>
      </c>
      <c r="DP77" s="872">
        <v>0</v>
      </c>
      <c r="DQ77" s="872">
        <v>0</v>
      </c>
    </row>
    <row r="78" s="861" customFormat="1" ht="14.25" customHeight="1" spans="1:121">
      <c r="A78" s="852">
        <v>76</v>
      </c>
      <c r="B78" s="853" t="s">
        <v>1345</v>
      </c>
      <c r="C78" s="853" t="s">
        <v>1351</v>
      </c>
      <c r="D78" s="873" t="s">
        <v>1025</v>
      </c>
      <c r="E78" s="869">
        <v>0</v>
      </c>
      <c r="F78" s="870">
        <v>0.17</v>
      </c>
      <c r="G78" s="871"/>
      <c r="H78" s="872"/>
      <c r="I78" s="871"/>
      <c r="J78" s="858">
        <v>0</v>
      </c>
      <c r="K78" s="872">
        <v>0</v>
      </c>
      <c r="L78" s="872">
        <v>0</v>
      </c>
      <c r="M78" s="872"/>
      <c r="N78" s="872"/>
      <c r="O78" s="872"/>
      <c r="P78" s="858">
        <v>0</v>
      </c>
      <c r="Q78" s="872">
        <v>0</v>
      </c>
      <c r="R78" s="872">
        <v>0</v>
      </c>
      <c r="S78" s="872"/>
      <c r="T78" s="872"/>
      <c r="U78" s="872"/>
      <c r="V78" s="858">
        <v>0</v>
      </c>
      <c r="W78" s="872">
        <v>0</v>
      </c>
      <c r="X78" s="872">
        <v>0</v>
      </c>
      <c r="Y78" s="872"/>
      <c r="Z78" s="872"/>
      <c r="AA78" s="872"/>
      <c r="AB78" s="858">
        <v>0</v>
      </c>
      <c r="AC78" s="872">
        <v>0</v>
      </c>
      <c r="AD78" s="872">
        <v>0</v>
      </c>
      <c r="AE78" s="872"/>
      <c r="AF78" s="872"/>
      <c r="AG78" s="872"/>
      <c r="AH78" s="858">
        <v>0</v>
      </c>
      <c r="AI78" s="872">
        <v>0</v>
      </c>
      <c r="AJ78" s="872">
        <v>0</v>
      </c>
      <c r="AK78" s="872"/>
      <c r="AL78" s="872"/>
      <c r="AM78" s="872"/>
      <c r="AN78" s="858">
        <v>0</v>
      </c>
      <c r="AO78" s="872">
        <v>0</v>
      </c>
      <c r="AP78" s="872">
        <v>0</v>
      </c>
      <c r="AQ78" s="872"/>
      <c r="AR78" s="872"/>
      <c r="AS78" s="872"/>
      <c r="AT78" s="858">
        <v>0</v>
      </c>
      <c r="AU78" s="872">
        <v>0</v>
      </c>
      <c r="AV78" s="872">
        <v>0</v>
      </c>
      <c r="AW78" s="872"/>
      <c r="AX78" s="872"/>
      <c r="AY78" s="872"/>
      <c r="AZ78" s="858">
        <v>0</v>
      </c>
      <c r="BA78" s="872">
        <v>0</v>
      </c>
      <c r="BB78" s="872">
        <v>0</v>
      </c>
      <c r="BC78" s="872"/>
      <c r="BD78" s="872"/>
      <c r="BE78" s="872"/>
      <c r="BF78" s="858">
        <v>0</v>
      </c>
      <c r="BG78" s="872">
        <v>0</v>
      </c>
      <c r="BH78" s="872">
        <v>0</v>
      </c>
      <c r="BI78" s="872"/>
      <c r="BJ78" s="872"/>
      <c r="BK78" s="872"/>
      <c r="BL78" s="858">
        <v>0</v>
      </c>
      <c r="BM78" s="872">
        <v>0</v>
      </c>
      <c r="BN78" s="872">
        <v>0</v>
      </c>
      <c r="BO78" s="872"/>
      <c r="BP78" s="872"/>
      <c r="BQ78" s="872"/>
      <c r="BR78" s="858">
        <v>0</v>
      </c>
      <c r="BS78" s="872">
        <v>0</v>
      </c>
      <c r="BT78" s="872">
        <v>0</v>
      </c>
      <c r="BU78" s="874">
        <v>0</v>
      </c>
      <c r="BV78" s="858" t="s">
        <v>1441</v>
      </c>
      <c r="BW78" s="874">
        <v>0.5</v>
      </c>
      <c r="BX78" s="858">
        <v>0</v>
      </c>
      <c r="BY78" s="872">
        <v>0</v>
      </c>
      <c r="BZ78" s="872">
        <v>0</v>
      </c>
      <c r="CA78" s="874">
        <v>0.5</v>
      </c>
      <c r="CB78" s="858" t="s">
        <v>1442</v>
      </c>
      <c r="CC78" s="874">
        <v>0.45</v>
      </c>
      <c r="CD78" s="858">
        <v>0</v>
      </c>
      <c r="CE78" s="872">
        <v>0</v>
      </c>
      <c r="CF78" s="872">
        <v>0</v>
      </c>
      <c r="CG78" s="874">
        <v>0.95</v>
      </c>
      <c r="CH78" s="858"/>
      <c r="CI78" s="874">
        <v>0</v>
      </c>
      <c r="CJ78" s="858">
        <v>0</v>
      </c>
      <c r="CK78" s="872">
        <v>0</v>
      </c>
      <c r="CL78" s="872">
        <v>0</v>
      </c>
      <c r="CM78" s="874">
        <v>0.95</v>
      </c>
      <c r="CN78" s="858"/>
      <c r="CO78" s="874">
        <v>0</v>
      </c>
      <c r="CP78" s="858">
        <v>0</v>
      </c>
      <c r="CQ78" s="872">
        <v>0</v>
      </c>
      <c r="CR78" s="872">
        <v>0</v>
      </c>
      <c r="CS78" s="874">
        <v>0.95</v>
      </c>
      <c r="CT78" s="858"/>
      <c r="CU78" s="874">
        <v>0</v>
      </c>
      <c r="CV78" s="858">
        <v>0</v>
      </c>
      <c r="CW78" s="872">
        <v>0</v>
      </c>
      <c r="CX78" s="872">
        <v>0</v>
      </c>
      <c r="CY78" s="874">
        <v>0.95</v>
      </c>
      <c r="CZ78" s="858"/>
      <c r="DA78" s="874">
        <v>0</v>
      </c>
      <c r="DB78" s="858">
        <v>0</v>
      </c>
      <c r="DC78" s="872">
        <v>0</v>
      </c>
      <c r="DD78" s="872">
        <v>0</v>
      </c>
      <c r="DE78" s="874">
        <v>0.95</v>
      </c>
      <c r="DF78" s="858"/>
      <c r="DG78" s="874">
        <v>0</v>
      </c>
      <c r="DH78" s="858">
        <v>0</v>
      </c>
      <c r="DI78" s="872">
        <v>0</v>
      </c>
      <c r="DJ78" s="872">
        <v>0</v>
      </c>
      <c r="DK78" s="874">
        <v>0.95</v>
      </c>
      <c r="DL78" s="858" t="s">
        <v>1443</v>
      </c>
      <c r="DM78" s="874">
        <v>0.05</v>
      </c>
      <c r="DN78" s="858">
        <v>0</v>
      </c>
      <c r="DO78" s="872">
        <v>0</v>
      </c>
      <c r="DP78" s="872">
        <v>0</v>
      </c>
      <c r="DQ78" s="872">
        <v>0</v>
      </c>
    </row>
    <row r="79" s="861" customFormat="1" ht="14.25" customHeight="1" spans="1:121">
      <c r="A79" s="852">
        <v>77</v>
      </c>
      <c r="B79" s="853" t="s">
        <v>1397</v>
      </c>
      <c r="C79" s="853" t="s">
        <v>1398</v>
      </c>
      <c r="D79" s="873" t="s">
        <v>1080</v>
      </c>
      <c r="E79" s="869">
        <v>196.012229568567</v>
      </c>
      <c r="F79" s="870">
        <v>0.06</v>
      </c>
      <c r="G79" s="871">
        <v>0</v>
      </c>
      <c r="H79" s="858" t="s">
        <v>1442</v>
      </c>
      <c r="I79" s="874">
        <v>1</v>
      </c>
      <c r="J79" s="858">
        <v>196.012229568567</v>
      </c>
      <c r="K79" s="872">
        <v>184.917197706195</v>
      </c>
      <c r="L79" s="872">
        <v>11.0950318623717</v>
      </c>
      <c r="M79" s="874">
        <v>1</v>
      </c>
      <c r="N79" s="858"/>
      <c r="O79" s="874">
        <v>0</v>
      </c>
      <c r="P79" s="858">
        <v>0</v>
      </c>
      <c r="Q79" s="872">
        <v>0</v>
      </c>
      <c r="R79" s="872">
        <v>0</v>
      </c>
      <c r="S79" s="874">
        <v>1</v>
      </c>
      <c r="T79" s="858"/>
      <c r="U79" s="874">
        <v>0</v>
      </c>
      <c r="V79" s="858">
        <v>0</v>
      </c>
      <c r="W79" s="872">
        <v>0</v>
      </c>
      <c r="X79" s="872">
        <v>0</v>
      </c>
      <c r="Y79" s="874">
        <v>1</v>
      </c>
      <c r="Z79" s="858"/>
      <c r="AA79" s="874">
        <v>0</v>
      </c>
      <c r="AB79" s="858">
        <v>0</v>
      </c>
      <c r="AC79" s="872">
        <v>0</v>
      </c>
      <c r="AD79" s="872">
        <v>0</v>
      </c>
      <c r="AE79" s="874">
        <v>1</v>
      </c>
      <c r="AF79" s="858"/>
      <c r="AG79" s="874">
        <v>0</v>
      </c>
      <c r="AH79" s="858">
        <v>0</v>
      </c>
      <c r="AI79" s="872">
        <v>0</v>
      </c>
      <c r="AJ79" s="872">
        <v>0</v>
      </c>
      <c r="AK79" s="874">
        <v>1</v>
      </c>
      <c r="AL79" s="858"/>
      <c r="AM79" s="874">
        <v>0</v>
      </c>
      <c r="AN79" s="858">
        <v>0</v>
      </c>
      <c r="AO79" s="872">
        <v>0</v>
      </c>
      <c r="AP79" s="872">
        <v>0</v>
      </c>
      <c r="AQ79" s="874">
        <v>1</v>
      </c>
      <c r="AR79" s="858"/>
      <c r="AS79" s="874">
        <v>0</v>
      </c>
      <c r="AT79" s="858">
        <v>0</v>
      </c>
      <c r="AU79" s="872">
        <v>0</v>
      </c>
      <c r="AV79" s="872">
        <v>0</v>
      </c>
      <c r="AW79" s="874">
        <v>1</v>
      </c>
      <c r="AX79" s="858"/>
      <c r="AY79" s="874">
        <v>0</v>
      </c>
      <c r="AZ79" s="858">
        <v>0</v>
      </c>
      <c r="BA79" s="872">
        <v>0</v>
      </c>
      <c r="BB79" s="872">
        <v>0</v>
      </c>
      <c r="BC79" s="872"/>
      <c r="BD79" s="872"/>
      <c r="BE79" s="872"/>
      <c r="BF79" s="858">
        <v>0</v>
      </c>
      <c r="BG79" s="872">
        <v>0</v>
      </c>
      <c r="BH79" s="872">
        <v>0</v>
      </c>
      <c r="BI79" s="872"/>
      <c r="BJ79" s="872"/>
      <c r="BK79" s="872"/>
      <c r="BL79" s="858">
        <v>0</v>
      </c>
      <c r="BM79" s="872">
        <v>0</v>
      </c>
      <c r="BN79" s="872">
        <v>0</v>
      </c>
      <c r="BO79" s="872"/>
      <c r="BP79" s="872"/>
      <c r="BQ79" s="872"/>
      <c r="BR79" s="858">
        <v>0</v>
      </c>
      <c r="BS79" s="872">
        <v>0</v>
      </c>
      <c r="BT79" s="872">
        <v>0</v>
      </c>
      <c r="BU79" s="872"/>
      <c r="BV79" s="872"/>
      <c r="BW79" s="872"/>
      <c r="BX79" s="858">
        <v>0</v>
      </c>
      <c r="BY79" s="872">
        <v>0</v>
      </c>
      <c r="BZ79" s="872">
        <v>0</v>
      </c>
      <c r="CA79" s="872"/>
      <c r="CB79" s="872"/>
      <c r="CC79" s="872"/>
      <c r="CD79" s="858">
        <v>0</v>
      </c>
      <c r="CE79" s="872">
        <v>0</v>
      </c>
      <c r="CF79" s="872">
        <v>0</v>
      </c>
      <c r="CG79" s="872"/>
      <c r="CH79" s="872"/>
      <c r="CI79" s="872"/>
      <c r="CJ79" s="858">
        <v>0</v>
      </c>
      <c r="CK79" s="872">
        <v>0</v>
      </c>
      <c r="CL79" s="872">
        <v>0</v>
      </c>
      <c r="CM79" s="874"/>
      <c r="CN79" s="872"/>
      <c r="CO79" s="872"/>
      <c r="CP79" s="858">
        <v>0</v>
      </c>
      <c r="CQ79" s="872">
        <v>0</v>
      </c>
      <c r="CR79" s="872">
        <v>0</v>
      </c>
      <c r="CS79" s="872"/>
      <c r="CT79" s="872"/>
      <c r="CU79" s="872"/>
      <c r="CV79" s="858">
        <v>0</v>
      </c>
      <c r="CW79" s="872">
        <v>0</v>
      </c>
      <c r="CX79" s="872">
        <v>0</v>
      </c>
      <c r="CY79" s="872"/>
      <c r="CZ79" s="872"/>
      <c r="DA79" s="872"/>
      <c r="DB79" s="858">
        <v>0</v>
      </c>
      <c r="DC79" s="872">
        <v>0</v>
      </c>
      <c r="DD79" s="872">
        <v>0</v>
      </c>
      <c r="DE79" s="872"/>
      <c r="DF79" s="872"/>
      <c r="DG79" s="872"/>
      <c r="DH79" s="858">
        <v>0</v>
      </c>
      <c r="DI79" s="872">
        <v>0</v>
      </c>
      <c r="DJ79" s="872">
        <v>0</v>
      </c>
      <c r="DK79" s="872"/>
      <c r="DL79" s="858"/>
      <c r="DM79" s="874"/>
      <c r="DN79" s="858">
        <v>0</v>
      </c>
      <c r="DO79" s="872">
        <v>0</v>
      </c>
      <c r="DP79" s="872">
        <v>0</v>
      </c>
      <c r="DQ79" s="872">
        <v>0</v>
      </c>
    </row>
    <row r="80" s="861" customFormat="1" ht="14.25" customHeight="1" spans="1:121">
      <c r="A80" s="852">
        <v>78</v>
      </c>
      <c r="B80" s="853" t="s">
        <v>1397</v>
      </c>
      <c r="C80" s="853" t="s">
        <v>1398</v>
      </c>
      <c r="D80" s="873" t="s">
        <v>1085</v>
      </c>
      <c r="E80" s="869">
        <v>570.929112456373</v>
      </c>
      <c r="F80" s="870">
        <v>0.06</v>
      </c>
      <c r="G80" s="871">
        <v>0</v>
      </c>
      <c r="H80" s="858" t="s">
        <v>1440</v>
      </c>
      <c r="I80" s="874">
        <v>0.1</v>
      </c>
      <c r="J80" s="858">
        <v>57.0929112456373</v>
      </c>
      <c r="K80" s="872">
        <v>53.8612370241861</v>
      </c>
      <c r="L80" s="872">
        <v>3.23167422145117</v>
      </c>
      <c r="M80" s="874">
        <v>0.1</v>
      </c>
      <c r="N80" s="858"/>
      <c r="O80" s="874">
        <v>0</v>
      </c>
      <c r="P80" s="858">
        <v>0</v>
      </c>
      <c r="Q80" s="872">
        <v>0</v>
      </c>
      <c r="R80" s="872">
        <v>0</v>
      </c>
      <c r="S80" s="874">
        <v>0.1</v>
      </c>
      <c r="T80" s="858"/>
      <c r="U80" s="874">
        <v>0.3</v>
      </c>
      <c r="V80" s="858">
        <v>171.278733736912</v>
      </c>
      <c r="W80" s="872">
        <v>161.583711072558</v>
      </c>
      <c r="X80" s="872">
        <v>9.6950226643535</v>
      </c>
      <c r="Y80" s="874">
        <v>0.4</v>
      </c>
      <c r="Z80" s="858"/>
      <c r="AA80" s="874">
        <v>0.5</v>
      </c>
      <c r="AB80" s="858">
        <v>285.464556228186</v>
      </c>
      <c r="AC80" s="872">
        <v>269.306185120931</v>
      </c>
      <c r="AD80" s="872">
        <v>16.1583711072558</v>
      </c>
      <c r="AE80" s="874">
        <v>0.9</v>
      </c>
      <c r="AF80" s="858"/>
      <c r="AG80" s="874">
        <v>0.1</v>
      </c>
      <c r="AH80" s="858">
        <v>57.0929112456373</v>
      </c>
      <c r="AI80" s="872">
        <v>53.8612370241861</v>
      </c>
      <c r="AJ80" s="872">
        <v>3.23167422145117</v>
      </c>
      <c r="AK80" s="874">
        <v>1</v>
      </c>
      <c r="AL80" s="858"/>
      <c r="AM80" s="874">
        <v>0</v>
      </c>
      <c r="AN80" s="858">
        <v>0</v>
      </c>
      <c r="AO80" s="872">
        <v>0</v>
      </c>
      <c r="AP80" s="872">
        <v>0</v>
      </c>
      <c r="AQ80" s="874">
        <v>1</v>
      </c>
      <c r="AR80" s="858"/>
      <c r="AS80" s="874">
        <v>0</v>
      </c>
      <c r="AT80" s="858">
        <v>0</v>
      </c>
      <c r="AU80" s="872">
        <v>0</v>
      </c>
      <c r="AV80" s="872">
        <v>0</v>
      </c>
      <c r="AW80" s="874">
        <v>1</v>
      </c>
      <c r="AX80" s="858"/>
      <c r="AY80" s="874">
        <v>0</v>
      </c>
      <c r="AZ80" s="858">
        <v>0</v>
      </c>
      <c r="BA80" s="872">
        <v>0</v>
      </c>
      <c r="BB80" s="872">
        <v>0</v>
      </c>
      <c r="BC80" s="872"/>
      <c r="BD80" s="872"/>
      <c r="BE80" s="872"/>
      <c r="BF80" s="858">
        <v>0</v>
      </c>
      <c r="BG80" s="872">
        <v>0</v>
      </c>
      <c r="BH80" s="872">
        <v>0</v>
      </c>
      <c r="BI80" s="872"/>
      <c r="BJ80" s="872"/>
      <c r="BK80" s="872"/>
      <c r="BL80" s="858">
        <v>0</v>
      </c>
      <c r="BM80" s="872">
        <v>0</v>
      </c>
      <c r="BN80" s="872">
        <v>0</v>
      </c>
      <c r="BO80" s="872"/>
      <c r="BP80" s="872"/>
      <c r="BQ80" s="872"/>
      <c r="BR80" s="858">
        <v>0</v>
      </c>
      <c r="BS80" s="872">
        <v>0</v>
      </c>
      <c r="BT80" s="872">
        <v>0</v>
      </c>
      <c r="BU80" s="872"/>
      <c r="BV80" s="872"/>
      <c r="BW80" s="872"/>
      <c r="BX80" s="858">
        <v>0</v>
      </c>
      <c r="BY80" s="872">
        <v>0</v>
      </c>
      <c r="BZ80" s="872">
        <v>0</v>
      </c>
      <c r="CA80" s="872"/>
      <c r="CB80" s="872"/>
      <c r="CC80" s="872"/>
      <c r="CD80" s="858">
        <v>0</v>
      </c>
      <c r="CE80" s="872">
        <v>0</v>
      </c>
      <c r="CF80" s="872">
        <v>0</v>
      </c>
      <c r="CG80" s="872"/>
      <c r="CH80" s="872"/>
      <c r="CI80" s="872"/>
      <c r="CJ80" s="858">
        <v>0</v>
      </c>
      <c r="CK80" s="872">
        <v>0</v>
      </c>
      <c r="CL80" s="872">
        <v>0</v>
      </c>
      <c r="CM80" s="874"/>
      <c r="CN80" s="872"/>
      <c r="CO80" s="872"/>
      <c r="CP80" s="858">
        <v>0</v>
      </c>
      <c r="CQ80" s="872">
        <v>0</v>
      </c>
      <c r="CR80" s="872">
        <v>0</v>
      </c>
      <c r="CS80" s="872"/>
      <c r="CT80" s="872"/>
      <c r="CU80" s="872"/>
      <c r="CV80" s="858">
        <v>0</v>
      </c>
      <c r="CW80" s="872">
        <v>0</v>
      </c>
      <c r="CX80" s="872">
        <v>0</v>
      </c>
      <c r="CY80" s="872"/>
      <c r="CZ80" s="872"/>
      <c r="DA80" s="872"/>
      <c r="DB80" s="858">
        <v>0</v>
      </c>
      <c r="DC80" s="872">
        <v>0</v>
      </c>
      <c r="DD80" s="872">
        <v>0</v>
      </c>
      <c r="DE80" s="872"/>
      <c r="DF80" s="872"/>
      <c r="DG80" s="872"/>
      <c r="DH80" s="858">
        <v>0</v>
      </c>
      <c r="DI80" s="872">
        <v>0</v>
      </c>
      <c r="DJ80" s="872">
        <v>0</v>
      </c>
      <c r="DK80" s="872"/>
      <c r="DL80" s="872"/>
      <c r="DM80" s="872"/>
      <c r="DN80" s="858">
        <v>0</v>
      </c>
      <c r="DO80" s="872">
        <v>0</v>
      </c>
      <c r="DP80" s="872">
        <v>0</v>
      </c>
      <c r="DQ80" s="872">
        <v>0</v>
      </c>
    </row>
    <row r="81" s="861" customFormat="1" ht="14.25" customHeight="1" spans="1:121">
      <c r="A81" s="852">
        <v>79</v>
      </c>
      <c r="B81" s="853" t="s">
        <v>1397</v>
      </c>
      <c r="C81" s="853" t="s">
        <v>1398</v>
      </c>
      <c r="D81" s="873" t="s">
        <v>1088</v>
      </c>
      <c r="E81" s="869">
        <v>106.741195036</v>
      </c>
      <c r="F81" s="870">
        <v>0.06</v>
      </c>
      <c r="G81" s="871">
        <v>0</v>
      </c>
      <c r="H81" s="858" t="s">
        <v>1440</v>
      </c>
      <c r="I81" s="874">
        <v>0.1</v>
      </c>
      <c r="J81" s="858">
        <v>10.6741195036</v>
      </c>
      <c r="K81" s="872">
        <v>10.06992406</v>
      </c>
      <c r="L81" s="872">
        <v>0.6041954436</v>
      </c>
      <c r="M81" s="874">
        <v>0.1</v>
      </c>
      <c r="N81" s="858"/>
      <c r="O81" s="874">
        <v>0</v>
      </c>
      <c r="P81" s="858">
        <v>0</v>
      </c>
      <c r="Q81" s="872">
        <v>0</v>
      </c>
      <c r="R81" s="872">
        <v>0</v>
      </c>
      <c r="S81" s="874">
        <v>0.1</v>
      </c>
      <c r="T81" s="858"/>
      <c r="U81" s="874">
        <v>0</v>
      </c>
      <c r="V81" s="858">
        <v>0</v>
      </c>
      <c r="W81" s="872">
        <v>0</v>
      </c>
      <c r="X81" s="872">
        <v>0</v>
      </c>
      <c r="Y81" s="874">
        <v>0.1</v>
      </c>
      <c r="Z81" s="858"/>
      <c r="AA81" s="874">
        <v>0</v>
      </c>
      <c r="AB81" s="858">
        <v>0</v>
      </c>
      <c r="AC81" s="872">
        <v>0</v>
      </c>
      <c r="AD81" s="872">
        <v>0</v>
      </c>
      <c r="AE81" s="874">
        <v>0.1</v>
      </c>
      <c r="AF81" s="858"/>
      <c r="AG81" s="874">
        <v>0</v>
      </c>
      <c r="AH81" s="858">
        <v>0</v>
      </c>
      <c r="AI81" s="872">
        <v>0</v>
      </c>
      <c r="AJ81" s="872">
        <v>0</v>
      </c>
      <c r="AK81" s="874">
        <v>0.1</v>
      </c>
      <c r="AL81" s="858"/>
      <c r="AM81" s="874">
        <v>0</v>
      </c>
      <c r="AN81" s="858">
        <v>0</v>
      </c>
      <c r="AO81" s="872">
        <v>0</v>
      </c>
      <c r="AP81" s="872">
        <v>0</v>
      </c>
      <c r="AQ81" s="874">
        <v>0.1</v>
      </c>
      <c r="AR81" s="858"/>
      <c r="AS81" s="874">
        <v>0.9</v>
      </c>
      <c r="AT81" s="858">
        <v>96.0670755324</v>
      </c>
      <c r="AU81" s="872">
        <v>90.62931654</v>
      </c>
      <c r="AV81" s="872">
        <v>5.43775899240001</v>
      </c>
      <c r="AW81" s="874">
        <v>1</v>
      </c>
      <c r="AX81" s="858"/>
      <c r="AY81" s="874">
        <v>0</v>
      </c>
      <c r="AZ81" s="858">
        <v>0</v>
      </c>
      <c r="BA81" s="872">
        <v>0</v>
      </c>
      <c r="BB81" s="872">
        <v>0</v>
      </c>
      <c r="BC81" s="872"/>
      <c r="BD81" s="872"/>
      <c r="BE81" s="872"/>
      <c r="BF81" s="858">
        <v>0</v>
      </c>
      <c r="BG81" s="872">
        <v>0</v>
      </c>
      <c r="BH81" s="872">
        <v>0</v>
      </c>
      <c r="BI81" s="872"/>
      <c r="BJ81" s="872"/>
      <c r="BK81" s="872"/>
      <c r="BL81" s="858">
        <v>0</v>
      </c>
      <c r="BM81" s="872">
        <v>0</v>
      </c>
      <c r="BN81" s="872">
        <v>0</v>
      </c>
      <c r="BO81" s="872"/>
      <c r="BP81" s="872"/>
      <c r="BQ81" s="872"/>
      <c r="BR81" s="858">
        <v>0</v>
      </c>
      <c r="BS81" s="872">
        <v>0</v>
      </c>
      <c r="BT81" s="872">
        <v>0</v>
      </c>
      <c r="BU81" s="872"/>
      <c r="BV81" s="872"/>
      <c r="BW81" s="872"/>
      <c r="BX81" s="858">
        <v>0</v>
      </c>
      <c r="BY81" s="872">
        <v>0</v>
      </c>
      <c r="BZ81" s="872">
        <v>0</v>
      </c>
      <c r="CA81" s="872"/>
      <c r="CB81" s="872"/>
      <c r="CC81" s="872"/>
      <c r="CD81" s="858">
        <v>0</v>
      </c>
      <c r="CE81" s="872">
        <v>0</v>
      </c>
      <c r="CF81" s="872">
        <v>0</v>
      </c>
      <c r="CG81" s="872"/>
      <c r="CH81" s="872"/>
      <c r="CI81" s="872"/>
      <c r="CJ81" s="858">
        <v>0</v>
      </c>
      <c r="CK81" s="872">
        <v>0</v>
      </c>
      <c r="CL81" s="872">
        <v>0</v>
      </c>
      <c r="CM81" s="874"/>
      <c r="CN81" s="872"/>
      <c r="CO81" s="872"/>
      <c r="CP81" s="858">
        <v>0</v>
      </c>
      <c r="CQ81" s="872">
        <v>0</v>
      </c>
      <c r="CR81" s="872">
        <v>0</v>
      </c>
      <c r="CS81" s="872"/>
      <c r="CT81" s="872"/>
      <c r="CU81" s="872"/>
      <c r="CV81" s="858">
        <v>0</v>
      </c>
      <c r="CW81" s="872">
        <v>0</v>
      </c>
      <c r="CX81" s="872">
        <v>0</v>
      </c>
      <c r="CY81" s="872"/>
      <c r="CZ81" s="872"/>
      <c r="DA81" s="872"/>
      <c r="DB81" s="858">
        <v>0</v>
      </c>
      <c r="DC81" s="872">
        <v>0</v>
      </c>
      <c r="DD81" s="872">
        <v>0</v>
      </c>
      <c r="DE81" s="872"/>
      <c r="DF81" s="872"/>
      <c r="DG81" s="872"/>
      <c r="DH81" s="858">
        <v>0</v>
      </c>
      <c r="DI81" s="872">
        <v>0</v>
      </c>
      <c r="DJ81" s="872">
        <v>0</v>
      </c>
      <c r="DK81" s="872"/>
      <c r="DL81" s="872"/>
      <c r="DM81" s="872"/>
      <c r="DN81" s="858">
        <v>0</v>
      </c>
      <c r="DO81" s="872">
        <v>0</v>
      </c>
      <c r="DP81" s="872">
        <v>0</v>
      </c>
      <c r="DQ81" s="872">
        <v>0</v>
      </c>
    </row>
    <row r="82" s="861" customFormat="1" ht="14.25" customHeight="1" spans="1:121">
      <c r="A82" s="852">
        <v>80</v>
      </c>
      <c r="B82" s="853" t="s">
        <v>1397</v>
      </c>
      <c r="C82" s="853" t="s">
        <v>1398</v>
      </c>
      <c r="D82" s="766" t="s">
        <v>1399</v>
      </c>
      <c r="E82" s="869">
        <v>0</v>
      </c>
      <c r="F82" s="870">
        <v>0.06</v>
      </c>
      <c r="G82" s="871">
        <v>0</v>
      </c>
      <c r="H82" s="858" t="s">
        <v>1440</v>
      </c>
      <c r="I82" s="874">
        <v>0.1</v>
      </c>
      <c r="J82" s="858">
        <v>0</v>
      </c>
      <c r="K82" s="872">
        <v>0</v>
      </c>
      <c r="L82" s="872">
        <v>0</v>
      </c>
      <c r="M82" s="874">
        <v>0.1</v>
      </c>
      <c r="N82" s="858"/>
      <c r="O82" s="874">
        <v>0</v>
      </c>
      <c r="P82" s="858">
        <v>0</v>
      </c>
      <c r="Q82" s="872">
        <v>0</v>
      </c>
      <c r="R82" s="872">
        <v>0</v>
      </c>
      <c r="S82" s="874">
        <v>0.1</v>
      </c>
      <c r="T82" s="858"/>
      <c r="U82" s="874">
        <v>0.3</v>
      </c>
      <c r="V82" s="858">
        <v>0</v>
      </c>
      <c r="W82" s="872">
        <v>0</v>
      </c>
      <c r="X82" s="872">
        <v>0</v>
      </c>
      <c r="Y82" s="874">
        <v>0.4</v>
      </c>
      <c r="Z82" s="858"/>
      <c r="AA82" s="874">
        <v>0.5</v>
      </c>
      <c r="AB82" s="858">
        <v>0</v>
      </c>
      <c r="AC82" s="872">
        <v>0</v>
      </c>
      <c r="AD82" s="872">
        <v>0</v>
      </c>
      <c r="AE82" s="874">
        <v>0.9</v>
      </c>
      <c r="AF82" s="858"/>
      <c r="AG82" s="874">
        <v>0.1</v>
      </c>
      <c r="AH82" s="858">
        <v>0</v>
      </c>
      <c r="AI82" s="872">
        <v>0</v>
      </c>
      <c r="AJ82" s="872">
        <v>0</v>
      </c>
      <c r="AK82" s="874">
        <v>1</v>
      </c>
      <c r="AL82" s="858"/>
      <c r="AM82" s="874">
        <v>0</v>
      </c>
      <c r="AN82" s="858">
        <v>0</v>
      </c>
      <c r="AO82" s="872">
        <v>0</v>
      </c>
      <c r="AP82" s="872">
        <v>0</v>
      </c>
      <c r="AQ82" s="874">
        <v>1</v>
      </c>
      <c r="AR82" s="858"/>
      <c r="AS82" s="874">
        <v>0</v>
      </c>
      <c r="AT82" s="858">
        <v>0</v>
      </c>
      <c r="AU82" s="872">
        <v>0</v>
      </c>
      <c r="AV82" s="872">
        <v>0</v>
      </c>
      <c r="AW82" s="874">
        <v>1</v>
      </c>
      <c r="AX82" s="858"/>
      <c r="AY82" s="874">
        <v>0</v>
      </c>
      <c r="AZ82" s="858">
        <v>0</v>
      </c>
      <c r="BA82" s="872">
        <v>0</v>
      </c>
      <c r="BB82" s="872">
        <v>0</v>
      </c>
      <c r="BC82" s="872"/>
      <c r="BD82" s="872"/>
      <c r="BE82" s="872"/>
      <c r="BF82" s="858">
        <v>0</v>
      </c>
      <c r="BG82" s="872">
        <v>0</v>
      </c>
      <c r="BH82" s="872">
        <v>0</v>
      </c>
      <c r="BI82" s="872"/>
      <c r="BJ82" s="872"/>
      <c r="BK82" s="872"/>
      <c r="BL82" s="858">
        <v>0</v>
      </c>
      <c r="BM82" s="872">
        <v>0</v>
      </c>
      <c r="BN82" s="872">
        <v>0</v>
      </c>
      <c r="BO82" s="872"/>
      <c r="BP82" s="872"/>
      <c r="BQ82" s="872"/>
      <c r="BR82" s="858">
        <v>0</v>
      </c>
      <c r="BS82" s="872">
        <v>0</v>
      </c>
      <c r="BT82" s="872">
        <v>0</v>
      </c>
      <c r="BU82" s="872"/>
      <c r="BV82" s="872"/>
      <c r="BW82" s="872"/>
      <c r="BX82" s="858">
        <v>0</v>
      </c>
      <c r="BY82" s="872">
        <v>0</v>
      </c>
      <c r="BZ82" s="872">
        <v>0</v>
      </c>
      <c r="CA82" s="872"/>
      <c r="CB82" s="872"/>
      <c r="CC82" s="872"/>
      <c r="CD82" s="858">
        <v>0</v>
      </c>
      <c r="CE82" s="872">
        <v>0</v>
      </c>
      <c r="CF82" s="872">
        <v>0</v>
      </c>
      <c r="CG82" s="872"/>
      <c r="CH82" s="872"/>
      <c r="CI82" s="872"/>
      <c r="CJ82" s="858">
        <v>0</v>
      </c>
      <c r="CK82" s="872">
        <v>0</v>
      </c>
      <c r="CL82" s="872">
        <v>0</v>
      </c>
      <c r="CM82" s="874"/>
      <c r="CN82" s="872"/>
      <c r="CO82" s="872"/>
      <c r="CP82" s="858">
        <v>0</v>
      </c>
      <c r="CQ82" s="872">
        <v>0</v>
      </c>
      <c r="CR82" s="872">
        <v>0</v>
      </c>
      <c r="CS82" s="872"/>
      <c r="CT82" s="872"/>
      <c r="CU82" s="872"/>
      <c r="CV82" s="858">
        <v>0</v>
      </c>
      <c r="CW82" s="872">
        <v>0</v>
      </c>
      <c r="CX82" s="872">
        <v>0</v>
      </c>
      <c r="CY82" s="872"/>
      <c r="CZ82" s="872"/>
      <c r="DA82" s="872"/>
      <c r="DB82" s="858">
        <v>0</v>
      </c>
      <c r="DC82" s="872">
        <v>0</v>
      </c>
      <c r="DD82" s="872">
        <v>0</v>
      </c>
      <c r="DE82" s="872"/>
      <c r="DF82" s="872"/>
      <c r="DG82" s="872"/>
      <c r="DH82" s="858">
        <v>0</v>
      </c>
      <c r="DI82" s="872">
        <v>0</v>
      </c>
      <c r="DJ82" s="872">
        <v>0</v>
      </c>
      <c r="DK82" s="872"/>
      <c r="DL82" s="872"/>
      <c r="DM82" s="872"/>
      <c r="DN82" s="858">
        <v>0</v>
      </c>
      <c r="DO82" s="872">
        <v>0</v>
      </c>
      <c r="DP82" s="872">
        <v>0</v>
      </c>
      <c r="DQ82" s="872">
        <v>0</v>
      </c>
    </row>
    <row r="83" s="861" customFormat="1" ht="14.25" customHeight="1" spans="1:121">
      <c r="A83" s="852">
        <v>81</v>
      </c>
      <c r="B83" s="853" t="s">
        <v>1397</v>
      </c>
      <c r="C83" s="853" t="s">
        <v>1398</v>
      </c>
      <c r="D83" s="766" t="s">
        <v>1400</v>
      </c>
      <c r="E83" s="869">
        <v>0</v>
      </c>
      <c r="F83" s="870">
        <v>0.06</v>
      </c>
      <c r="G83" s="871">
        <v>0</v>
      </c>
      <c r="H83" s="872"/>
      <c r="I83" s="875">
        <v>0</v>
      </c>
      <c r="J83" s="858">
        <v>0</v>
      </c>
      <c r="K83" s="872">
        <v>0</v>
      </c>
      <c r="L83" s="872">
        <v>0</v>
      </c>
      <c r="M83" s="874">
        <v>0</v>
      </c>
      <c r="N83" s="872"/>
      <c r="O83" s="871"/>
      <c r="P83" s="858">
        <v>0</v>
      </c>
      <c r="Q83" s="872">
        <v>0</v>
      </c>
      <c r="R83" s="872">
        <v>0</v>
      </c>
      <c r="S83" s="874">
        <v>0</v>
      </c>
      <c r="T83" s="872"/>
      <c r="U83" s="871"/>
      <c r="V83" s="858">
        <v>0</v>
      </c>
      <c r="W83" s="872">
        <v>0</v>
      </c>
      <c r="X83" s="872">
        <v>0</v>
      </c>
      <c r="Y83" s="874">
        <v>0</v>
      </c>
      <c r="Z83" s="872"/>
      <c r="AA83" s="871"/>
      <c r="AB83" s="858">
        <v>0</v>
      </c>
      <c r="AC83" s="872">
        <v>0</v>
      </c>
      <c r="AD83" s="872">
        <v>0</v>
      </c>
      <c r="AE83" s="874">
        <v>0</v>
      </c>
      <c r="AF83" s="872"/>
      <c r="AG83" s="871"/>
      <c r="AH83" s="858">
        <v>0</v>
      </c>
      <c r="AI83" s="872">
        <v>0</v>
      </c>
      <c r="AJ83" s="872">
        <v>0</v>
      </c>
      <c r="AK83" s="874">
        <v>0</v>
      </c>
      <c r="AL83" s="858" t="s">
        <v>1441</v>
      </c>
      <c r="AM83" s="871">
        <v>1</v>
      </c>
      <c r="AN83" s="858">
        <v>0</v>
      </c>
      <c r="AO83" s="872">
        <v>0</v>
      </c>
      <c r="AP83" s="872">
        <v>0</v>
      </c>
      <c r="AQ83" s="874">
        <v>1</v>
      </c>
      <c r="AR83" s="872"/>
      <c r="AS83" s="872"/>
      <c r="AT83" s="858">
        <v>0</v>
      </c>
      <c r="AU83" s="872">
        <v>0</v>
      </c>
      <c r="AV83" s="872">
        <v>0</v>
      </c>
      <c r="AW83" s="874">
        <v>1</v>
      </c>
      <c r="AX83" s="872"/>
      <c r="AY83" s="872"/>
      <c r="AZ83" s="858">
        <v>0</v>
      </c>
      <c r="BA83" s="872">
        <v>0</v>
      </c>
      <c r="BB83" s="872">
        <v>0</v>
      </c>
      <c r="BC83" s="874">
        <v>1</v>
      </c>
      <c r="BD83" s="872"/>
      <c r="BE83" s="871"/>
      <c r="BF83" s="858">
        <v>0</v>
      </c>
      <c r="BG83" s="872">
        <v>0</v>
      </c>
      <c r="BH83" s="872">
        <v>0</v>
      </c>
      <c r="BI83" s="874">
        <v>1</v>
      </c>
      <c r="BJ83" s="872"/>
      <c r="BK83" s="871"/>
      <c r="BL83" s="858">
        <v>0</v>
      </c>
      <c r="BM83" s="872">
        <v>0</v>
      </c>
      <c r="BN83" s="872">
        <v>0</v>
      </c>
      <c r="BO83" s="874">
        <v>1</v>
      </c>
      <c r="BP83" s="872"/>
      <c r="BQ83" s="871"/>
      <c r="BR83" s="858">
        <v>0</v>
      </c>
      <c r="BS83" s="872">
        <v>0</v>
      </c>
      <c r="BT83" s="872">
        <v>0</v>
      </c>
      <c r="BU83" s="874">
        <v>1</v>
      </c>
      <c r="BV83" s="872"/>
      <c r="BW83" s="871"/>
      <c r="BX83" s="858">
        <v>0</v>
      </c>
      <c r="BY83" s="872">
        <v>0</v>
      </c>
      <c r="BZ83" s="872">
        <v>0</v>
      </c>
      <c r="CA83" s="874">
        <v>1</v>
      </c>
      <c r="CB83" s="872"/>
      <c r="CC83" s="871"/>
      <c r="CD83" s="858">
        <v>0</v>
      </c>
      <c r="CE83" s="872">
        <v>0</v>
      </c>
      <c r="CF83" s="872">
        <v>0</v>
      </c>
      <c r="CG83" s="874">
        <v>1</v>
      </c>
      <c r="CH83" s="872"/>
      <c r="CI83" s="872"/>
      <c r="CJ83" s="858">
        <v>0</v>
      </c>
      <c r="CK83" s="872">
        <v>0</v>
      </c>
      <c r="CL83" s="872">
        <v>0</v>
      </c>
      <c r="CM83" s="874">
        <v>1</v>
      </c>
      <c r="CN83" s="872"/>
      <c r="CO83" s="872"/>
      <c r="CP83" s="858">
        <v>0</v>
      </c>
      <c r="CQ83" s="872">
        <v>0</v>
      </c>
      <c r="CR83" s="872">
        <v>0</v>
      </c>
      <c r="CS83" s="874">
        <v>1</v>
      </c>
      <c r="CT83" s="872"/>
      <c r="CU83" s="871"/>
      <c r="CV83" s="858">
        <v>0</v>
      </c>
      <c r="CW83" s="872">
        <v>0</v>
      </c>
      <c r="CX83" s="872">
        <v>0</v>
      </c>
      <c r="CY83" s="874">
        <v>1</v>
      </c>
      <c r="CZ83" s="872"/>
      <c r="DA83" s="871"/>
      <c r="DB83" s="858">
        <v>0</v>
      </c>
      <c r="DC83" s="872">
        <v>0</v>
      </c>
      <c r="DD83" s="872">
        <v>0</v>
      </c>
      <c r="DE83" s="874">
        <v>1</v>
      </c>
      <c r="DF83" s="872"/>
      <c r="DG83" s="871"/>
      <c r="DH83" s="858">
        <v>0</v>
      </c>
      <c r="DI83" s="872">
        <v>0</v>
      </c>
      <c r="DJ83" s="872">
        <v>0</v>
      </c>
      <c r="DK83" s="874">
        <v>1</v>
      </c>
      <c r="DL83" s="872"/>
      <c r="DM83" s="871"/>
      <c r="DN83" s="858">
        <v>0</v>
      </c>
      <c r="DO83" s="872">
        <v>0</v>
      </c>
      <c r="DP83" s="872">
        <v>0</v>
      </c>
      <c r="DQ83" s="872">
        <v>0</v>
      </c>
    </row>
    <row r="84" s="861" customFormat="1" ht="14.25" customHeight="1" spans="1:121">
      <c r="A84" s="852">
        <v>82</v>
      </c>
      <c r="B84" s="853" t="s">
        <v>1397</v>
      </c>
      <c r="C84" s="853" t="s">
        <v>1398</v>
      </c>
      <c r="D84" s="859" t="s">
        <v>1095</v>
      </c>
      <c r="E84" s="869">
        <v>6.66905514804295</v>
      </c>
      <c r="F84" s="870">
        <v>0.06</v>
      </c>
      <c r="G84" s="871">
        <v>0</v>
      </c>
      <c r="H84" s="872"/>
      <c r="I84" s="875">
        <v>0</v>
      </c>
      <c r="J84" s="858">
        <v>0</v>
      </c>
      <c r="K84" s="872">
        <v>0</v>
      </c>
      <c r="L84" s="872">
        <v>0</v>
      </c>
      <c r="M84" s="874">
        <v>0</v>
      </c>
      <c r="N84" s="872"/>
      <c r="O84" s="871"/>
      <c r="P84" s="858">
        <v>0</v>
      </c>
      <c r="Q84" s="872">
        <v>0</v>
      </c>
      <c r="R84" s="872">
        <v>0</v>
      </c>
      <c r="S84" s="874">
        <v>0</v>
      </c>
      <c r="T84" s="872"/>
      <c r="U84" s="871"/>
      <c r="V84" s="858">
        <v>0</v>
      </c>
      <c r="W84" s="872">
        <v>0</v>
      </c>
      <c r="X84" s="872">
        <v>0</v>
      </c>
      <c r="Y84" s="874">
        <v>0</v>
      </c>
      <c r="Z84" s="872"/>
      <c r="AA84" s="871"/>
      <c r="AB84" s="858">
        <v>0</v>
      </c>
      <c r="AC84" s="872">
        <v>0</v>
      </c>
      <c r="AD84" s="872">
        <v>0</v>
      </c>
      <c r="AE84" s="874">
        <v>0</v>
      </c>
      <c r="AF84" s="858" t="s">
        <v>1440</v>
      </c>
      <c r="AG84" s="871">
        <v>1</v>
      </c>
      <c r="AH84" s="858">
        <v>6.66905514804295</v>
      </c>
      <c r="AI84" s="872">
        <v>6.29156146041788</v>
      </c>
      <c r="AJ84" s="872">
        <v>0.377493687625073</v>
      </c>
      <c r="AK84" s="874">
        <v>1</v>
      </c>
      <c r="AL84" s="872"/>
      <c r="AM84" s="871"/>
      <c r="AN84" s="858">
        <v>0</v>
      </c>
      <c r="AO84" s="872">
        <v>0</v>
      </c>
      <c r="AP84" s="872">
        <v>0</v>
      </c>
      <c r="AQ84" s="874">
        <v>1</v>
      </c>
      <c r="AR84" s="872"/>
      <c r="AS84" s="872"/>
      <c r="AT84" s="858">
        <v>0</v>
      </c>
      <c r="AU84" s="872">
        <v>0</v>
      </c>
      <c r="AV84" s="872">
        <v>0</v>
      </c>
      <c r="AW84" s="874">
        <v>1</v>
      </c>
      <c r="AX84" s="872"/>
      <c r="AY84" s="872"/>
      <c r="AZ84" s="858">
        <v>0</v>
      </c>
      <c r="BA84" s="872">
        <v>0</v>
      </c>
      <c r="BB84" s="872">
        <v>0</v>
      </c>
      <c r="BC84" s="874">
        <v>1</v>
      </c>
      <c r="BD84" s="872"/>
      <c r="BE84" s="871"/>
      <c r="BF84" s="858">
        <v>0</v>
      </c>
      <c r="BG84" s="872">
        <v>0</v>
      </c>
      <c r="BH84" s="872">
        <v>0</v>
      </c>
      <c r="BI84" s="874">
        <v>1</v>
      </c>
      <c r="BJ84" s="872"/>
      <c r="BK84" s="871"/>
      <c r="BL84" s="858">
        <v>0</v>
      </c>
      <c r="BM84" s="872">
        <v>0</v>
      </c>
      <c r="BN84" s="872">
        <v>0</v>
      </c>
      <c r="BO84" s="874">
        <v>1</v>
      </c>
      <c r="BP84" s="872"/>
      <c r="BQ84" s="871"/>
      <c r="BR84" s="858">
        <v>0</v>
      </c>
      <c r="BS84" s="872">
        <v>0</v>
      </c>
      <c r="BT84" s="872">
        <v>0</v>
      </c>
      <c r="BU84" s="874">
        <v>1</v>
      </c>
      <c r="BV84" s="872"/>
      <c r="BW84" s="871"/>
      <c r="BX84" s="858">
        <v>0</v>
      </c>
      <c r="BY84" s="872">
        <v>0</v>
      </c>
      <c r="BZ84" s="872">
        <v>0</v>
      </c>
      <c r="CA84" s="874">
        <v>1</v>
      </c>
      <c r="CB84" s="872"/>
      <c r="CC84" s="871"/>
      <c r="CD84" s="858">
        <v>0</v>
      </c>
      <c r="CE84" s="872">
        <v>0</v>
      </c>
      <c r="CF84" s="872">
        <v>0</v>
      </c>
      <c r="CG84" s="874">
        <v>1</v>
      </c>
      <c r="CH84" s="872"/>
      <c r="CI84" s="872"/>
      <c r="CJ84" s="858">
        <v>0</v>
      </c>
      <c r="CK84" s="872">
        <v>0</v>
      </c>
      <c r="CL84" s="872">
        <v>0</v>
      </c>
      <c r="CM84" s="874">
        <v>1</v>
      </c>
      <c r="CN84" s="872"/>
      <c r="CO84" s="872"/>
      <c r="CP84" s="858">
        <v>0</v>
      </c>
      <c r="CQ84" s="872">
        <v>0</v>
      </c>
      <c r="CR84" s="872">
        <v>0</v>
      </c>
      <c r="CS84" s="874">
        <v>1</v>
      </c>
      <c r="CT84" s="872"/>
      <c r="CU84" s="871"/>
      <c r="CV84" s="858">
        <v>0</v>
      </c>
      <c r="CW84" s="872">
        <v>0</v>
      </c>
      <c r="CX84" s="872">
        <v>0</v>
      </c>
      <c r="CY84" s="874">
        <v>1</v>
      </c>
      <c r="CZ84" s="872"/>
      <c r="DA84" s="871"/>
      <c r="DB84" s="858">
        <v>0</v>
      </c>
      <c r="DC84" s="872">
        <v>0</v>
      </c>
      <c r="DD84" s="872">
        <v>0</v>
      </c>
      <c r="DE84" s="874">
        <v>1</v>
      </c>
      <c r="DF84" s="872"/>
      <c r="DG84" s="871"/>
      <c r="DH84" s="858">
        <v>0</v>
      </c>
      <c r="DI84" s="872">
        <v>0</v>
      </c>
      <c r="DJ84" s="872">
        <v>0</v>
      </c>
      <c r="DK84" s="874">
        <v>1</v>
      </c>
      <c r="DL84" s="872"/>
      <c r="DM84" s="871"/>
      <c r="DN84" s="858">
        <v>0</v>
      </c>
      <c r="DO84" s="872">
        <v>0</v>
      </c>
      <c r="DP84" s="872">
        <v>0</v>
      </c>
      <c r="DQ84" s="872">
        <v>0</v>
      </c>
    </row>
    <row r="85" s="861" customFormat="1" ht="14.25" customHeight="1" spans="1:121">
      <c r="A85" s="852">
        <v>83</v>
      </c>
      <c r="B85" s="853" t="s">
        <v>1397</v>
      </c>
      <c r="C85" s="853" t="s">
        <v>1398</v>
      </c>
      <c r="D85" s="859" t="s">
        <v>1099</v>
      </c>
      <c r="E85" s="869">
        <v>61.4712909297872</v>
      </c>
      <c r="F85" s="870">
        <v>0.06</v>
      </c>
      <c r="G85" s="871">
        <v>0</v>
      </c>
      <c r="H85" s="872"/>
      <c r="I85" s="875">
        <v>0</v>
      </c>
      <c r="J85" s="858">
        <v>0</v>
      </c>
      <c r="K85" s="872">
        <v>0</v>
      </c>
      <c r="L85" s="872">
        <v>0</v>
      </c>
      <c r="M85" s="874">
        <v>0</v>
      </c>
      <c r="N85" s="872"/>
      <c r="O85" s="871"/>
      <c r="P85" s="858">
        <v>0</v>
      </c>
      <c r="Q85" s="872">
        <v>0</v>
      </c>
      <c r="R85" s="872">
        <v>0</v>
      </c>
      <c r="S85" s="874">
        <v>0</v>
      </c>
      <c r="T85" s="872"/>
      <c r="U85" s="871"/>
      <c r="V85" s="858">
        <v>0</v>
      </c>
      <c r="W85" s="872">
        <v>0</v>
      </c>
      <c r="X85" s="872">
        <v>0</v>
      </c>
      <c r="Y85" s="874">
        <v>0</v>
      </c>
      <c r="Z85" s="872"/>
      <c r="AA85" s="871"/>
      <c r="AB85" s="858">
        <v>0</v>
      </c>
      <c r="AC85" s="872">
        <v>0</v>
      </c>
      <c r="AD85" s="872">
        <v>0</v>
      </c>
      <c r="AE85" s="874">
        <v>0</v>
      </c>
      <c r="AF85" s="872"/>
      <c r="AG85" s="871"/>
      <c r="AH85" s="858">
        <v>0</v>
      </c>
      <c r="AI85" s="872">
        <v>0</v>
      </c>
      <c r="AJ85" s="872">
        <v>0</v>
      </c>
      <c r="AK85" s="874">
        <v>0</v>
      </c>
      <c r="AL85" s="872"/>
      <c r="AM85" s="871"/>
      <c r="AN85" s="858">
        <v>0</v>
      </c>
      <c r="AO85" s="872">
        <v>0</v>
      </c>
      <c r="AP85" s="872">
        <v>0</v>
      </c>
      <c r="AQ85" s="874">
        <v>0</v>
      </c>
      <c r="AR85" s="872"/>
      <c r="AS85" s="872"/>
      <c r="AT85" s="858">
        <v>0</v>
      </c>
      <c r="AU85" s="872">
        <v>0</v>
      </c>
      <c r="AV85" s="872">
        <v>0</v>
      </c>
      <c r="AW85" s="874">
        <v>0</v>
      </c>
      <c r="AX85" s="872"/>
      <c r="AY85" s="872"/>
      <c r="AZ85" s="858">
        <v>0</v>
      </c>
      <c r="BA85" s="872">
        <v>0</v>
      </c>
      <c r="BB85" s="872">
        <v>0</v>
      </c>
      <c r="BC85" s="874">
        <v>0</v>
      </c>
      <c r="BD85" s="872"/>
      <c r="BE85" s="871"/>
      <c r="BF85" s="858">
        <v>0</v>
      </c>
      <c r="BG85" s="872">
        <v>0</v>
      </c>
      <c r="BH85" s="872">
        <v>0</v>
      </c>
      <c r="BI85" s="874">
        <v>0</v>
      </c>
      <c r="BJ85" s="872"/>
      <c r="BK85" s="871"/>
      <c r="BL85" s="858">
        <v>0</v>
      </c>
      <c r="BM85" s="872">
        <v>0</v>
      </c>
      <c r="BN85" s="872">
        <v>0</v>
      </c>
      <c r="BO85" s="874">
        <v>0</v>
      </c>
      <c r="BP85" s="872"/>
      <c r="BQ85" s="871"/>
      <c r="BR85" s="858">
        <v>0</v>
      </c>
      <c r="BS85" s="872">
        <v>0</v>
      </c>
      <c r="BT85" s="872">
        <v>0</v>
      </c>
      <c r="BU85" s="874">
        <v>0</v>
      </c>
      <c r="BV85" s="872"/>
      <c r="BW85" s="871"/>
      <c r="BX85" s="858">
        <v>0</v>
      </c>
      <c r="BY85" s="872">
        <v>0</v>
      </c>
      <c r="BZ85" s="872">
        <v>0</v>
      </c>
      <c r="CA85" s="874">
        <v>0</v>
      </c>
      <c r="CB85" s="872"/>
      <c r="CC85" s="871"/>
      <c r="CD85" s="858">
        <v>0</v>
      </c>
      <c r="CE85" s="872">
        <v>0</v>
      </c>
      <c r="CF85" s="872">
        <v>0</v>
      </c>
      <c r="CG85" s="874">
        <v>0</v>
      </c>
      <c r="CH85" s="872"/>
      <c r="CI85" s="872"/>
      <c r="CJ85" s="858">
        <v>0</v>
      </c>
      <c r="CK85" s="872">
        <v>0</v>
      </c>
      <c r="CL85" s="872">
        <v>0</v>
      </c>
      <c r="CM85" s="874">
        <v>0</v>
      </c>
      <c r="CN85" s="872"/>
      <c r="CO85" s="872"/>
      <c r="CP85" s="858">
        <v>0</v>
      </c>
      <c r="CQ85" s="872">
        <v>0</v>
      </c>
      <c r="CR85" s="872">
        <v>0</v>
      </c>
      <c r="CS85" s="874">
        <v>0</v>
      </c>
      <c r="CT85" s="872"/>
      <c r="CU85" s="871"/>
      <c r="CV85" s="858">
        <v>0</v>
      </c>
      <c r="CW85" s="872">
        <v>0</v>
      </c>
      <c r="CX85" s="872">
        <v>0</v>
      </c>
      <c r="CY85" s="874">
        <v>0</v>
      </c>
      <c r="CZ85" s="858" t="s">
        <v>1441</v>
      </c>
      <c r="DA85" s="871">
        <v>0.8</v>
      </c>
      <c r="DB85" s="858">
        <v>49.1770327438298</v>
      </c>
      <c r="DC85" s="872">
        <v>46.3934271168205</v>
      </c>
      <c r="DD85" s="872">
        <v>2.78360562700924</v>
      </c>
      <c r="DE85" s="874">
        <v>0.8</v>
      </c>
      <c r="DF85" s="858" t="s">
        <v>1442</v>
      </c>
      <c r="DG85" s="871">
        <v>0.2</v>
      </c>
      <c r="DH85" s="858">
        <v>12.2942581859574</v>
      </c>
      <c r="DI85" s="872">
        <v>11.5983567792051</v>
      </c>
      <c r="DJ85" s="872">
        <v>0.695901406752309</v>
      </c>
      <c r="DK85" s="874">
        <v>1</v>
      </c>
      <c r="DL85" s="872"/>
      <c r="DM85" s="871"/>
      <c r="DN85" s="858">
        <v>0</v>
      </c>
      <c r="DO85" s="872">
        <v>0</v>
      </c>
      <c r="DP85" s="872">
        <v>0</v>
      </c>
      <c r="DQ85" s="872">
        <v>0</v>
      </c>
    </row>
    <row r="86" s="861" customFormat="1" ht="14.25" customHeight="1" spans="1:121">
      <c r="A86" s="852">
        <v>84</v>
      </c>
      <c r="B86" s="853" t="s">
        <v>1397</v>
      </c>
      <c r="C86" s="853" t="s">
        <v>1398</v>
      </c>
      <c r="D86" s="859" t="s">
        <v>1104</v>
      </c>
      <c r="E86" s="869">
        <v>0</v>
      </c>
      <c r="F86" s="870">
        <v>0.06</v>
      </c>
      <c r="G86" s="871">
        <v>0</v>
      </c>
      <c r="H86" s="872"/>
      <c r="I86" s="875">
        <v>0</v>
      </c>
      <c r="J86" s="858">
        <v>0</v>
      </c>
      <c r="K86" s="872">
        <v>0</v>
      </c>
      <c r="L86" s="872">
        <v>0</v>
      </c>
      <c r="M86" s="874">
        <v>0</v>
      </c>
      <c r="N86" s="872"/>
      <c r="O86" s="871"/>
      <c r="P86" s="858">
        <v>0</v>
      </c>
      <c r="Q86" s="872">
        <v>0</v>
      </c>
      <c r="R86" s="872">
        <v>0</v>
      </c>
      <c r="S86" s="874">
        <v>0</v>
      </c>
      <c r="T86" s="872"/>
      <c r="U86" s="871"/>
      <c r="V86" s="858">
        <v>0</v>
      </c>
      <c r="W86" s="872">
        <v>0</v>
      </c>
      <c r="X86" s="872">
        <v>0</v>
      </c>
      <c r="Y86" s="874">
        <v>0</v>
      </c>
      <c r="Z86" s="872"/>
      <c r="AA86" s="871"/>
      <c r="AB86" s="858">
        <v>0</v>
      </c>
      <c r="AC86" s="872">
        <v>0</v>
      </c>
      <c r="AD86" s="872">
        <v>0</v>
      </c>
      <c r="AE86" s="874">
        <v>0</v>
      </c>
      <c r="AF86" s="872"/>
      <c r="AG86" s="871"/>
      <c r="AH86" s="858">
        <v>0</v>
      </c>
      <c r="AI86" s="872">
        <v>0</v>
      </c>
      <c r="AJ86" s="872">
        <v>0</v>
      </c>
      <c r="AK86" s="874">
        <v>0</v>
      </c>
      <c r="AL86" s="872"/>
      <c r="AM86" s="871"/>
      <c r="AN86" s="858">
        <v>0</v>
      </c>
      <c r="AO86" s="872">
        <v>0</v>
      </c>
      <c r="AP86" s="872">
        <v>0</v>
      </c>
      <c r="AQ86" s="874">
        <v>0</v>
      </c>
      <c r="AR86" s="872"/>
      <c r="AS86" s="872"/>
      <c r="AT86" s="858">
        <v>0</v>
      </c>
      <c r="AU86" s="872">
        <v>0</v>
      </c>
      <c r="AV86" s="872">
        <v>0</v>
      </c>
      <c r="AW86" s="874">
        <v>0</v>
      </c>
      <c r="AX86" s="872"/>
      <c r="AY86" s="872"/>
      <c r="AZ86" s="858">
        <v>0</v>
      </c>
      <c r="BA86" s="872">
        <v>0</v>
      </c>
      <c r="BB86" s="872">
        <v>0</v>
      </c>
      <c r="BC86" s="874">
        <v>0</v>
      </c>
      <c r="BD86" s="858" t="s">
        <v>1441</v>
      </c>
      <c r="BE86" s="871">
        <v>1</v>
      </c>
      <c r="BF86" s="858">
        <v>0</v>
      </c>
      <c r="BG86" s="872">
        <v>0</v>
      </c>
      <c r="BH86" s="872">
        <v>0</v>
      </c>
      <c r="BI86" s="874">
        <v>1</v>
      </c>
      <c r="BJ86" s="872"/>
      <c r="BK86" s="871"/>
      <c r="BL86" s="858">
        <v>0</v>
      </c>
      <c r="BM86" s="872">
        <v>0</v>
      </c>
      <c r="BN86" s="872">
        <v>0</v>
      </c>
      <c r="BO86" s="874">
        <v>1</v>
      </c>
      <c r="BP86" s="872"/>
      <c r="BQ86" s="871"/>
      <c r="BR86" s="858">
        <v>0</v>
      </c>
      <c r="BS86" s="872">
        <v>0</v>
      </c>
      <c r="BT86" s="872">
        <v>0</v>
      </c>
      <c r="BU86" s="874">
        <v>1</v>
      </c>
      <c r="BV86" s="872"/>
      <c r="BW86" s="871"/>
      <c r="BX86" s="858">
        <v>0</v>
      </c>
      <c r="BY86" s="872">
        <v>0</v>
      </c>
      <c r="BZ86" s="872">
        <v>0</v>
      </c>
      <c r="CA86" s="874">
        <v>1</v>
      </c>
      <c r="CB86" s="872"/>
      <c r="CC86" s="871"/>
      <c r="CD86" s="858">
        <v>0</v>
      </c>
      <c r="CE86" s="872">
        <v>0</v>
      </c>
      <c r="CF86" s="872">
        <v>0</v>
      </c>
      <c r="CG86" s="874">
        <v>1</v>
      </c>
      <c r="CH86" s="872"/>
      <c r="CI86" s="872"/>
      <c r="CJ86" s="858">
        <v>0</v>
      </c>
      <c r="CK86" s="872">
        <v>0</v>
      </c>
      <c r="CL86" s="872">
        <v>0</v>
      </c>
      <c r="CM86" s="874">
        <v>1</v>
      </c>
      <c r="CN86" s="872"/>
      <c r="CO86" s="872"/>
      <c r="CP86" s="858">
        <v>0</v>
      </c>
      <c r="CQ86" s="872">
        <v>0</v>
      </c>
      <c r="CR86" s="872">
        <v>0</v>
      </c>
      <c r="CS86" s="874">
        <v>1</v>
      </c>
      <c r="CT86" s="872"/>
      <c r="CU86" s="871"/>
      <c r="CV86" s="858">
        <v>0</v>
      </c>
      <c r="CW86" s="872">
        <v>0</v>
      </c>
      <c r="CX86" s="872">
        <v>0</v>
      </c>
      <c r="CY86" s="874">
        <v>1</v>
      </c>
      <c r="CZ86" s="872"/>
      <c r="DA86" s="871"/>
      <c r="DB86" s="858">
        <v>0</v>
      </c>
      <c r="DC86" s="872">
        <v>0</v>
      </c>
      <c r="DD86" s="872">
        <v>0</v>
      </c>
      <c r="DE86" s="874">
        <v>1</v>
      </c>
      <c r="DF86" s="872"/>
      <c r="DG86" s="871"/>
      <c r="DH86" s="858">
        <v>0</v>
      </c>
      <c r="DI86" s="872">
        <v>0</v>
      </c>
      <c r="DJ86" s="872">
        <v>0</v>
      </c>
      <c r="DK86" s="874">
        <v>1</v>
      </c>
      <c r="DL86" s="872"/>
      <c r="DM86" s="871"/>
      <c r="DN86" s="858">
        <v>0</v>
      </c>
      <c r="DO86" s="872">
        <v>0</v>
      </c>
      <c r="DP86" s="872">
        <v>0</v>
      </c>
      <c r="DQ86" s="872">
        <v>0</v>
      </c>
    </row>
    <row r="87" s="861" customFormat="1" ht="14.25" customHeight="1" spans="1:121">
      <c r="A87" s="852">
        <v>85</v>
      </c>
      <c r="B87" s="853" t="s">
        <v>1397</v>
      </c>
      <c r="C87" s="853" t="s">
        <v>1398</v>
      </c>
      <c r="D87" s="859" t="s">
        <v>1108</v>
      </c>
      <c r="E87" s="869">
        <v>170.205885734835</v>
      </c>
      <c r="F87" s="870">
        <v>0.06</v>
      </c>
      <c r="G87" s="871">
        <v>0</v>
      </c>
      <c r="H87" s="872"/>
      <c r="I87" s="875">
        <v>0</v>
      </c>
      <c r="J87" s="858">
        <v>0</v>
      </c>
      <c r="K87" s="872">
        <v>0</v>
      </c>
      <c r="L87" s="872">
        <v>0</v>
      </c>
      <c r="M87" s="874">
        <v>0</v>
      </c>
      <c r="N87" s="872"/>
      <c r="O87" s="871"/>
      <c r="P87" s="858">
        <v>0</v>
      </c>
      <c r="Q87" s="872">
        <v>0</v>
      </c>
      <c r="R87" s="872">
        <v>0</v>
      </c>
      <c r="S87" s="874">
        <v>0</v>
      </c>
      <c r="T87" s="872"/>
      <c r="U87" s="871"/>
      <c r="V87" s="858">
        <v>0</v>
      </c>
      <c r="W87" s="872">
        <v>0</v>
      </c>
      <c r="X87" s="872">
        <v>0</v>
      </c>
      <c r="Y87" s="874">
        <v>0</v>
      </c>
      <c r="Z87" s="872"/>
      <c r="AA87" s="871"/>
      <c r="AB87" s="858">
        <v>0</v>
      </c>
      <c r="AC87" s="872">
        <v>0</v>
      </c>
      <c r="AD87" s="872">
        <v>0</v>
      </c>
      <c r="AE87" s="874">
        <v>0</v>
      </c>
      <c r="AF87" s="872"/>
      <c r="AG87" s="871"/>
      <c r="AH87" s="858">
        <v>0</v>
      </c>
      <c r="AI87" s="872">
        <v>0</v>
      </c>
      <c r="AJ87" s="872">
        <v>0</v>
      </c>
      <c r="AK87" s="874">
        <v>0</v>
      </c>
      <c r="AL87" s="872"/>
      <c r="AM87" s="871"/>
      <c r="AN87" s="858">
        <v>0</v>
      </c>
      <c r="AO87" s="872">
        <v>0</v>
      </c>
      <c r="AP87" s="872">
        <v>0</v>
      </c>
      <c r="AQ87" s="874">
        <v>0</v>
      </c>
      <c r="AR87" s="872"/>
      <c r="AS87" s="872"/>
      <c r="AT87" s="858">
        <v>0</v>
      </c>
      <c r="AU87" s="872">
        <v>0</v>
      </c>
      <c r="AV87" s="872">
        <v>0</v>
      </c>
      <c r="AW87" s="874">
        <v>0</v>
      </c>
      <c r="AX87" s="872"/>
      <c r="AY87" s="872"/>
      <c r="AZ87" s="858">
        <v>0</v>
      </c>
      <c r="BA87" s="872">
        <v>0</v>
      </c>
      <c r="BB87" s="872">
        <v>0</v>
      </c>
      <c r="BC87" s="874">
        <v>0</v>
      </c>
      <c r="BD87" s="858" t="s">
        <v>1441</v>
      </c>
      <c r="BE87" s="871">
        <v>1</v>
      </c>
      <c r="BF87" s="858">
        <v>170.205885734835</v>
      </c>
      <c r="BG87" s="872">
        <v>160.571590315882</v>
      </c>
      <c r="BH87" s="872">
        <v>9.63429541895295</v>
      </c>
      <c r="BI87" s="874">
        <v>1</v>
      </c>
      <c r="BJ87" s="872"/>
      <c r="BK87" s="871"/>
      <c r="BL87" s="858">
        <v>0</v>
      </c>
      <c r="BM87" s="872">
        <v>0</v>
      </c>
      <c r="BN87" s="872">
        <v>0</v>
      </c>
      <c r="BO87" s="874">
        <v>1</v>
      </c>
      <c r="BP87" s="872"/>
      <c r="BQ87" s="871"/>
      <c r="BR87" s="858">
        <v>0</v>
      </c>
      <c r="BS87" s="872">
        <v>0</v>
      </c>
      <c r="BT87" s="872">
        <v>0</v>
      </c>
      <c r="BU87" s="874">
        <v>1</v>
      </c>
      <c r="BV87" s="872"/>
      <c r="BW87" s="871"/>
      <c r="BX87" s="858">
        <v>0</v>
      </c>
      <c r="BY87" s="872">
        <v>0</v>
      </c>
      <c r="BZ87" s="872">
        <v>0</v>
      </c>
      <c r="CA87" s="874">
        <v>1</v>
      </c>
      <c r="CB87" s="872"/>
      <c r="CC87" s="871"/>
      <c r="CD87" s="858">
        <v>0</v>
      </c>
      <c r="CE87" s="872">
        <v>0</v>
      </c>
      <c r="CF87" s="872">
        <v>0</v>
      </c>
      <c r="CG87" s="874">
        <v>1</v>
      </c>
      <c r="CH87" s="872"/>
      <c r="CI87" s="872"/>
      <c r="CJ87" s="858">
        <v>0</v>
      </c>
      <c r="CK87" s="872">
        <v>0</v>
      </c>
      <c r="CL87" s="872">
        <v>0</v>
      </c>
      <c r="CM87" s="874">
        <v>1</v>
      </c>
      <c r="CN87" s="872"/>
      <c r="CO87" s="872"/>
      <c r="CP87" s="858">
        <v>0</v>
      </c>
      <c r="CQ87" s="872">
        <v>0</v>
      </c>
      <c r="CR87" s="872">
        <v>0</v>
      </c>
      <c r="CS87" s="874">
        <v>1</v>
      </c>
      <c r="CT87" s="872"/>
      <c r="CU87" s="871"/>
      <c r="CV87" s="858">
        <v>0</v>
      </c>
      <c r="CW87" s="872">
        <v>0</v>
      </c>
      <c r="CX87" s="872">
        <v>0</v>
      </c>
      <c r="CY87" s="874">
        <v>1</v>
      </c>
      <c r="CZ87" s="872"/>
      <c r="DA87" s="871"/>
      <c r="DB87" s="858">
        <v>0</v>
      </c>
      <c r="DC87" s="872">
        <v>0</v>
      </c>
      <c r="DD87" s="872">
        <v>0</v>
      </c>
      <c r="DE87" s="874">
        <v>1</v>
      </c>
      <c r="DF87" s="872"/>
      <c r="DG87" s="871"/>
      <c r="DH87" s="858">
        <v>0</v>
      </c>
      <c r="DI87" s="872">
        <v>0</v>
      </c>
      <c r="DJ87" s="872">
        <v>0</v>
      </c>
      <c r="DK87" s="874">
        <v>1</v>
      </c>
      <c r="DL87" s="872"/>
      <c r="DM87" s="871"/>
      <c r="DN87" s="858">
        <v>0</v>
      </c>
      <c r="DO87" s="872">
        <v>0</v>
      </c>
      <c r="DP87" s="872">
        <v>0</v>
      </c>
      <c r="DQ87" s="872">
        <v>0</v>
      </c>
    </row>
    <row r="88" s="861" customFormat="1" ht="14.25" customHeight="1" spans="1:121">
      <c r="A88" s="852">
        <v>86</v>
      </c>
      <c r="B88" s="853" t="s">
        <v>1397</v>
      </c>
      <c r="C88" s="853" t="s">
        <v>1398</v>
      </c>
      <c r="D88" s="859" t="s">
        <v>1112</v>
      </c>
      <c r="E88" s="869">
        <v>0</v>
      </c>
      <c r="F88" s="870">
        <v>0.06</v>
      </c>
      <c r="G88" s="871">
        <v>0</v>
      </c>
      <c r="H88" s="872"/>
      <c r="I88" s="875">
        <v>0</v>
      </c>
      <c r="J88" s="858">
        <v>0</v>
      </c>
      <c r="K88" s="872">
        <v>0</v>
      </c>
      <c r="L88" s="872">
        <v>0</v>
      </c>
      <c r="M88" s="874">
        <v>0</v>
      </c>
      <c r="N88" s="872"/>
      <c r="O88" s="871"/>
      <c r="P88" s="858">
        <v>0</v>
      </c>
      <c r="Q88" s="872">
        <v>0</v>
      </c>
      <c r="R88" s="872">
        <v>0</v>
      </c>
      <c r="S88" s="874">
        <v>0</v>
      </c>
      <c r="T88" s="872"/>
      <c r="U88" s="871"/>
      <c r="V88" s="858">
        <v>0</v>
      </c>
      <c r="W88" s="872">
        <v>0</v>
      </c>
      <c r="X88" s="872">
        <v>0</v>
      </c>
      <c r="Y88" s="874">
        <v>0</v>
      </c>
      <c r="Z88" s="872"/>
      <c r="AA88" s="871"/>
      <c r="AB88" s="858">
        <v>0</v>
      </c>
      <c r="AC88" s="872">
        <v>0</v>
      </c>
      <c r="AD88" s="872">
        <v>0</v>
      </c>
      <c r="AE88" s="874">
        <v>0</v>
      </c>
      <c r="AF88" s="872"/>
      <c r="AG88" s="871"/>
      <c r="AH88" s="858">
        <v>0</v>
      </c>
      <c r="AI88" s="872">
        <v>0</v>
      </c>
      <c r="AJ88" s="872">
        <v>0</v>
      </c>
      <c r="AK88" s="874">
        <v>0</v>
      </c>
      <c r="AL88" s="872"/>
      <c r="AM88" s="871"/>
      <c r="AN88" s="858">
        <v>0</v>
      </c>
      <c r="AO88" s="872">
        <v>0</v>
      </c>
      <c r="AP88" s="872">
        <v>0</v>
      </c>
      <c r="AQ88" s="874">
        <v>0</v>
      </c>
      <c r="AR88" s="872"/>
      <c r="AS88" s="872"/>
      <c r="AT88" s="858">
        <v>0</v>
      </c>
      <c r="AU88" s="872">
        <v>0</v>
      </c>
      <c r="AV88" s="872">
        <v>0</v>
      </c>
      <c r="AW88" s="874">
        <v>0</v>
      </c>
      <c r="AX88" s="872"/>
      <c r="AY88" s="872"/>
      <c r="AZ88" s="858">
        <v>0</v>
      </c>
      <c r="BA88" s="872">
        <v>0</v>
      </c>
      <c r="BB88" s="872">
        <v>0</v>
      </c>
      <c r="BC88" s="874">
        <v>0</v>
      </c>
      <c r="BD88" s="858" t="s">
        <v>1441</v>
      </c>
      <c r="BE88" s="871">
        <v>1</v>
      </c>
      <c r="BF88" s="858">
        <v>0</v>
      </c>
      <c r="BG88" s="872">
        <v>0</v>
      </c>
      <c r="BH88" s="872">
        <v>0</v>
      </c>
      <c r="BI88" s="874">
        <v>1</v>
      </c>
      <c r="BJ88" s="872"/>
      <c r="BK88" s="871"/>
      <c r="BL88" s="858">
        <v>0</v>
      </c>
      <c r="BM88" s="872">
        <v>0</v>
      </c>
      <c r="BN88" s="872">
        <v>0</v>
      </c>
      <c r="BO88" s="874">
        <v>1</v>
      </c>
      <c r="BP88" s="872"/>
      <c r="BQ88" s="871"/>
      <c r="BR88" s="858">
        <v>0</v>
      </c>
      <c r="BS88" s="872">
        <v>0</v>
      </c>
      <c r="BT88" s="872">
        <v>0</v>
      </c>
      <c r="BU88" s="874">
        <v>1</v>
      </c>
      <c r="BV88" s="872"/>
      <c r="BW88" s="871"/>
      <c r="BX88" s="858">
        <v>0</v>
      </c>
      <c r="BY88" s="872">
        <v>0</v>
      </c>
      <c r="BZ88" s="872">
        <v>0</v>
      </c>
      <c r="CA88" s="874">
        <v>1</v>
      </c>
      <c r="CB88" s="872"/>
      <c r="CC88" s="871"/>
      <c r="CD88" s="858">
        <v>0</v>
      </c>
      <c r="CE88" s="872">
        <v>0</v>
      </c>
      <c r="CF88" s="872">
        <v>0</v>
      </c>
      <c r="CG88" s="874">
        <v>1</v>
      </c>
      <c r="CH88" s="872"/>
      <c r="CI88" s="872"/>
      <c r="CJ88" s="858">
        <v>0</v>
      </c>
      <c r="CK88" s="872">
        <v>0</v>
      </c>
      <c r="CL88" s="872">
        <v>0</v>
      </c>
      <c r="CM88" s="874">
        <v>1</v>
      </c>
      <c r="CN88" s="872"/>
      <c r="CO88" s="872"/>
      <c r="CP88" s="858">
        <v>0</v>
      </c>
      <c r="CQ88" s="872">
        <v>0</v>
      </c>
      <c r="CR88" s="872">
        <v>0</v>
      </c>
      <c r="CS88" s="874">
        <v>1</v>
      </c>
      <c r="CT88" s="872"/>
      <c r="CU88" s="871"/>
      <c r="CV88" s="858">
        <v>0</v>
      </c>
      <c r="CW88" s="872">
        <v>0</v>
      </c>
      <c r="CX88" s="872">
        <v>0</v>
      </c>
      <c r="CY88" s="874">
        <v>1</v>
      </c>
      <c r="CZ88" s="872"/>
      <c r="DA88" s="871"/>
      <c r="DB88" s="858">
        <v>0</v>
      </c>
      <c r="DC88" s="872">
        <v>0</v>
      </c>
      <c r="DD88" s="872">
        <v>0</v>
      </c>
      <c r="DE88" s="874">
        <v>1</v>
      </c>
      <c r="DF88" s="872"/>
      <c r="DG88" s="871"/>
      <c r="DH88" s="858">
        <v>0</v>
      </c>
      <c r="DI88" s="872">
        <v>0</v>
      </c>
      <c r="DJ88" s="872">
        <v>0</v>
      </c>
      <c r="DK88" s="874">
        <v>1</v>
      </c>
      <c r="DL88" s="872"/>
      <c r="DM88" s="871"/>
      <c r="DN88" s="858">
        <v>0</v>
      </c>
      <c r="DO88" s="872">
        <v>0</v>
      </c>
      <c r="DP88" s="872">
        <v>0</v>
      </c>
      <c r="DQ88" s="872">
        <v>0</v>
      </c>
    </row>
    <row r="89" s="861" customFormat="1" ht="14.25" customHeight="1" spans="1:121">
      <c r="A89" s="852">
        <v>87</v>
      </c>
      <c r="B89" s="853" t="s">
        <v>546</v>
      </c>
      <c r="C89" s="853" t="s">
        <v>1401</v>
      </c>
      <c r="D89" s="873" t="s">
        <v>570</v>
      </c>
      <c r="E89" s="869">
        <v>490</v>
      </c>
      <c r="F89" s="870">
        <v>0</v>
      </c>
      <c r="G89" s="871">
        <v>0</v>
      </c>
      <c r="H89" s="872"/>
      <c r="I89" s="875">
        <v>0</v>
      </c>
      <c r="J89" s="858">
        <v>0</v>
      </c>
      <c r="K89" s="872">
        <v>0</v>
      </c>
      <c r="L89" s="872">
        <v>0</v>
      </c>
      <c r="M89" s="874">
        <v>0</v>
      </c>
      <c r="N89" s="872"/>
      <c r="O89" s="871"/>
      <c r="P89" s="858">
        <v>0</v>
      </c>
      <c r="Q89" s="872">
        <v>0</v>
      </c>
      <c r="R89" s="872">
        <v>0</v>
      </c>
      <c r="S89" s="874">
        <v>0</v>
      </c>
      <c r="T89" s="872"/>
      <c r="U89" s="871"/>
      <c r="V89" s="858">
        <v>0</v>
      </c>
      <c r="W89" s="872">
        <v>0</v>
      </c>
      <c r="X89" s="872">
        <v>0</v>
      </c>
      <c r="Y89" s="874">
        <v>0</v>
      </c>
      <c r="Z89" s="872"/>
      <c r="AA89" s="871"/>
      <c r="AB89" s="858">
        <v>0</v>
      </c>
      <c r="AC89" s="872">
        <v>0</v>
      </c>
      <c r="AD89" s="872">
        <v>0</v>
      </c>
      <c r="AE89" s="874">
        <v>0</v>
      </c>
      <c r="AF89" s="872"/>
      <c r="AG89" s="871"/>
      <c r="AH89" s="858">
        <v>0</v>
      </c>
      <c r="AI89" s="872">
        <v>0</v>
      </c>
      <c r="AJ89" s="872">
        <v>0</v>
      </c>
      <c r="AK89" s="874">
        <v>0</v>
      </c>
      <c r="AL89" s="858" t="s">
        <v>1441</v>
      </c>
      <c r="AM89" s="871">
        <v>0.3</v>
      </c>
      <c r="AN89" s="858">
        <v>147</v>
      </c>
      <c r="AO89" s="872">
        <v>147</v>
      </c>
      <c r="AP89" s="872">
        <v>0</v>
      </c>
      <c r="AQ89" s="874">
        <v>0.3</v>
      </c>
      <c r="AR89" s="872"/>
      <c r="AS89" s="872"/>
      <c r="AT89" s="858">
        <v>0</v>
      </c>
      <c r="AU89" s="872">
        <v>0</v>
      </c>
      <c r="AV89" s="872">
        <v>0</v>
      </c>
      <c r="AW89" s="874">
        <v>0.3</v>
      </c>
      <c r="AX89" s="872"/>
      <c r="AY89" s="872"/>
      <c r="AZ89" s="858">
        <v>0</v>
      </c>
      <c r="BA89" s="872">
        <v>0</v>
      </c>
      <c r="BB89" s="872">
        <v>0</v>
      </c>
      <c r="BC89" s="874">
        <v>0.3</v>
      </c>
      <c r="BD89" s="872"/>
      <c r="BE89" s="871"/>
      <c r="BF89" s="858">
        <v>0</v>
      </c>
      <c r="BG89" s="872">
        <v>0</v>
      </c>
      <c r="BH89" s="872">
        <v>0</v>
      </c>
      <c r="BI89" s="874">
        <v>0.3</v>
      </c>
      <c r="BJ89" s="858" t="s">
        <v>1441</v>
      </c>
      <c r="BK89" s="871">
        <v>0.3</v>
      </c>
      <c r="BL89" s="858">
        <v>147</v>
      </c>
      <c r="BM89" s="872">
        <v>147</v>
      </c>
      <c r="BN89" s="872">
        <v>0</v>
      </c>
      <c r="BO89" s="874">
        <v>0.6</v>
      </c>
      <c r="BP89" s="872"/>
      <c r="BQ89" s="871"/>
      <c r="BR89" s="858">
        <v>0</v>
      </c>
      <c r="BS89" s="872">
        <v>0</v>
      </c>
      <c r="BT89" s="872">
        <v>0</v>
      </c>
      <c r="BU89" s="874">
        <v>0.6</v>
      </c>
      <c r="BV89" s="872"/>
      <c r="BW89" s="871"/>
      <c r="BX89" s="858">
        <v>0</v>
      </c>
      <c r="BY89" s="872">
        <v>0</v>
      </c>
      <c r="BZ89" s="872">
        <v>0</v>
      </c>
      <c r="CA89" s="874">
        <v>0.6</v>
      </c>
      <c r="CB89" s="872"/>
      <c r="CC89" s="871"/>
      <c r="CD89" s="858">
        <v>0</v>
      </c>
      <c r="CE89" s="872">
        <v>0</v>
      </c>
      <c r="CF89" s="872">
        <v>0</v>
      </c>
      <c r="CG89" s="874">
        <v>0.6</v>
      </c>
      <c r="CH89" s="872"/>
      <c r="CI89" s="872"/>
      <c r="CJ89" s="858">
        <v>0</v>
      </c>
      <c r="CK89" s="872">
        <v>0</v>
      </c>
      <c r="CL89" s="872">
        <v>0</v>
      </c>
      <c r="CM89" s="874">
        <v>0.6</v>
      </c>
      <c r="CN89" s="872"/>
      <c r="CO89" s="872"/>
      <c r="CP89" s="858">
        <v>0</v>
      </c>
      <c r="CQ89" s="872">
        <v>0</v>
      </c>
      <c r="CR89" s="872">
        <v>0</v>
      </c>
      <c r="CS89" s="874">
        <v>0.6</v>
      </c>
      <c r="CT89" s="872"/>
      <c r="CU89" s="871"/>
      <c r="CV89" s="858">
        <v>0</v>
      </c>
      <c r="CW89" s="872">
        <v>0</v>
      </c>
      <c r="CX89" s="872">
        <v>0</v>
      </c>
      <c r="CY89" s="874">
        <v>0.6</v>
      </c>
      <c r="CZ89" s="858" t="s">
        <v>1441</v>
      </c>
      <c r="DA89" s="871">
        <v>0.4</v>
      </c>
      <c r="DB89" s="858">
        <v>196</v>
      </c>
      <c r="DC89" s="872">
        <v>196</v>
      </c>
      <c r="DD89" s="872">
        <v>0</v>
      </c>
      <c r="DE89" s="874">
        <v>1</v>
      </c>
      <c r="DF89" s="872"/>
      <c r="DG89" s="871"/>
      <c r="DH89" s="858">
        <v>0</v>
      </c>
      <c r="DI89" s="872">
        <v>0</v>
      </c>
      <c r="DJ89" s="872">
        <v>0</v>
      </c>
      <c r="DK89" s="874">
        <v>1</v>
      </c>
      <c r="DL89" s="872"/>
      <c r="DM89" s="871"/>
      <c r="DN89" s="858">
        <v>0</v>
      </c>
      <c r="DO89" s="872">
        <v>0</v>
      </c>
      <c r="DP89" s="872">
        <v>0</v>
      </c>
      <c r="DQ89" s="872">
        <v>0</v>
      </c>
    </row>
    <row r="90" s="861" customFormat="1" ht="14.25" customHeight="1" spans="1:121">
      <c r="A90" s="852">
        <v>88</v>
      </c>
      <c r="B90" s="853" t="s">
        <v>546</v>
      </c>
      <c r="C90" s="853" t="s">
        <v>1401</v>
      </c>
      <c r="D90" s="873" t="s">
        <v>1116</v>
      </c>
      <c r="E90" s="869">
        <v>492.930163116218</v>
      </c>
      <c r="F90" s="870">
        <v>0.06</v>
      </c>
      <c r="G90" s="871">
        <v>0</v>
      </c>
      <c r="H90" s="858" t="s">
        <v>1440</v>
      </c>
      <c r="I90" s="875">
        <v>0.1</v>
      </c>
      <c r="J90" s="858">
        <v>49.2930163116218</v>
      </c>
      <c r="K90" s="872">
        <v>46.5028455770017</v>
      </c>
      <c r="L90" s="872">
        <v>2.7901707346201</v>
      </c>
      <c r="M90" s="874">
        <v>0.1</v>
      </c>
      <c r="N90" s="872"/>
      <c r="O90" s="871"/>
      <c r="P90" s="858">
        <v>0</v>
      </c>
      <c r="Q90" s="872">
        <v>0</v>
      </c>
      <c r="R90" s="872">
        <v>0</v>
      </c>
      <c r="S90" s="874">
        <v>0.1</v>
      </c>
      <c r="T90" s="872"/>
      <c r="U90" s="871"/>
      <c r="V90" s="858">
        <v>0</v>
      </c>
      <c r="W90" s="872">
        <v>0</v>
      </c>
      <c r="X90" s="872">
        <v>0</v>
      </c>
      <c r="Y90" s="874">
        <v>0.1</v>
      </c>
      <c r="Z90" s="872"/>
      <c r="AA90" s="871"/>
      <c r="AB90" s="858">
        <v>0</v>
      </c>
      <c r="AC90" s="872">
        <v>0</v>
      </c>
      <c r="AD90" s="872">
        <v>0</v>
      </c>
      <c r="AE90" s="874">
        <v>0.1</v>
      </c>
      <c r="AF90" s="872"/>
      <c r="AG90" s="871"/>
      <c r="AH90" s="858">
        <v>0</v>
      </c>
      <c r="AI90" s="872">
        <v>0</v>
      </c>
      <c r="AJ90" s="872">
        <v>0</v>
      </c>
      <c r="AK90" s="874">
        <v>0.1</v>
      </c>
      <c r="AL90" s="858" t="s">
        <v>1441</v>
      </c>
      <c r="AM90" s="871">
        <v>0.1</v>
      </c>
      <c r="AN90" s="858">
        <v>49.2930163116218</v>
      </c>
      <c r="AO90" s="872">
        <v>46.5028455770017</v>
      </c>
      <c r="AP90" s="872">
        <v>2.7901707346201</v>
      </c>
      <c r="AQ90" s="874">
        <v>0.2</v>
      </c>
      <c r="AR90" s="872"/>
      <c r="AS90" s="872"/>
      <c r="AT90" s="858">
        <v>0</v>
      </c>
      <c r="AU90" s="872">
        <v>0</v>
      </c>
      <c r="AV90" s="872">
        <v>0</v>
      </c>
      <c r="AW90" s="874">
        <v>0.2</v>
      </c>
      <c r="AX90" s="872"/>
      <c r="AY90" s="872"/>
      <c r="AZ90" s="858">
        <v>0</v>
      </c>
      <c r="BA90" s="872">
        <v>0</v>
      </c>
      <c r="BB90" s="872">
        <v>0</v>
      </c>
      <c r="BC90" s="874">
        <v>0.2</v>
      </c>
      <c r="BD90" s="872"/>
      <c r="BE90" s="871"/>
      <c r="BF90" s="858">
        <v>0</v>
      </c>
      <c r="BG90" s="872">
        <v>0</v>
      </c>
      <c r="BH90" s="872">
        <v>0</v>
      </c>
      <c r="BI90" s="874">
        <v>0.2</v>
      </c>
      <c r="BJ90" s="858" t="s">
        <v>1441</v>
      </c>
      <c r="BK90" s="871">
        <v>0.3</v>
      </c>
      <c r="BL90" s="858">
        <v>147.879048934865</v>
      </c>
      <c r="BM90" s="872">
        <v>139.508536731005</v>
      </c>
      <c r="BN90" s="872">
        <v>8.3705122038603</v>
      </c>
      <c r="BO90" s="874">
        <v>0.5</v>
      </c>
      <c r="BP90" s="858" t="s">
        <v>1441</v>
      </c>
      <c r="BQ90" s="871">
        <v>0.1</v>
      </c>
      <c r="BR90" s="858">
        <v>49.2930163116218</v>
      </c>
      <c r="BS90" s="872">
        <v>46.5028455770017</v>
      </c>
      <c r="BT90" s="872">
        <v>2.7901707346201</v>
      </c>
      <c r="BU90" s="874">
        <v>0.6</v>
      </c>
      <c r="BV90" s="872"/>
      <c r="BW90" s="871"/>
      <c r="BX90" s="858">
        <v>0</v>
      </c>
      <c r="BY90" s="872">
        <v>0</v>
      </c>
      <c r="BZ90" s="872">
        <v>0</v>
      </c>
      <c r="CA90" s="874">
        <v>0.6</v>
      </c>
      <c r="CB90" s="872"/>
      <c r="CC90" s="871"/>
      <c r="CD90" s="858">
        <v>0</v>
      </c>
      <c r="CE90" s="872">
        <v>0</v>
      </c>
      <c r="CF90" s="872">
        <v>0</v>
      </c>
      <c r="CG90" s="874">
        <v>0.6</v>
      </c>
      <c r="CH90" s="872"/>
      <c r="CI90" s="872"/>
      <c r="CJ90" s="858">
        <v>0</v>
      </c>
      <c r="CK90" s="872">
        <v>0</v>
      </c>
      <c r="CL90" s="872">
        <v>0</v>
      </c>
      <c r="CM90" s="874">
        <v>0.6</v>
      </c>
      <c r="CN90" s="872"/>
      <c r="CO90" s="872"/>
      <c r="CP90" s="858">
        <v>0</v>
      </c>
      <c r="CQ90" s="872">
        <v>0</v>
      </c>
      <c r="CR90" s="872">
        <v>0</v>
      </c>
      <c r="CS90" s="874">
        <v>0.6</v>
      </c>
      <c r="CT90" s="858" t="s">
        <v>1441</v>
      </c>
      <c r="CU90" s="871">
        <v>0.2</v>
      </c>
      <c r="CV90" s="858">
        <v>98.5860326232436</v>
      </c>
      <c r="CW90" s="872">
        <v>93.0056911540034</v>
      </c>
      <c r="CX90" s="872">
        <v>5.58034146924021</v>
      </c>
      <c r="CY90" s="874">
        <v>0.8</v>
      </c>
      <c r="CZ90" s="872"/>
      <c r="DA90" s="871"/>
      <c r="DB90" s="858">
        <v>0</v>
      </c>
      <c r="DC90" s="872">
        <v>0</v>
      </c>
      <c r="DD90" s="872">
        <v>0</v>
      </c>
      <c r="DE90" s="874">
        <v>0.8</v>
      </c>
      <c r="DF90" s="858" t="s">
        <v>1442</v>
      </c>
      <c r="DG90" s="871">
        <v>0.12</v>
      </c>
      <c r="DH90" s="858">
        <v>59.1516195739462</v>
      </c>
      <c r="DI90" s="872">
        <v>55.803414692402</v>
      </c>
      <c r="DJ90" s="872">
        <v>3.34820488154413</v>
      </c>
      <c r="DK90" s="874">
        <v>0.92</v>
      </c>
      <c r="DL90" s="858" t="s">
        <v>1443</v>
      </c>
      <c r="DM90" s="871">
        <v>0.08</v>
      </c>
      <c r="DN90" s="858">
        <v>39.4344130492975</v>
      </c>
      <c r="DO90" s="872">
        <v>37.2022764616014</v>
      </c>
      <c r="DP90" s="872">
        <v>2.23213658769608</v>
      </c>
      <c r="DQ90" s="872">
        <v>0</v>
      </c>
    </row>
    <row r="91" s="861" customFormat="1" ht="14.25" customHeight="1" spans="1:121">
      <c r="A91" s="852">
        <v>89</v>
      </c>
      <c r="B91" s="853" t="s">
        <v>546</v>
      </c>
      <c r="C91" s="853" t="s">
        <v>1401</v>
      </c>
      <c r="D91" s="873" t="s">
        <v>1119</v>
      </c>
      <c r="E91" s="869">
        <v>54.8022357817443</v>
      </c>
      <c r="F91" s="870">
        <v>0.06</v>
      </c>
      <c r="G91" s="871">
        <v>0</v>
      </c>
      <c r="H91" s="872"/>
      <c r="I91" s="875">
        <v>0</v>
      </c>
      <c r="J91" s="858">
        <v>0</v>
      </c>
      <c r="K91" s="872">
        <v>0</v>
      </c>
      <c r="L91" s="872">
        <v>0</v>
      </c>
      <c r="M91" s="874">
        <v>0</v>
      </c>
      <c r="N91" s="872"/>
      <c r="O91" s="871"/>
      <c r="P91" s="858">
        <v>0</v>
      </c>
      <c r="Q91" s="872">
        <v>0</v>
      </c>
      <c r="R91" s="872">
        <v>0</v>
      </c>
      <c r="S91" s="874">
        <v>0</v>
      </c>
      <c r="T91" s="872"/>
      <c r="U91" s="871"/>
      <c r="V91" s="858">
        <v>0</v>
      </c>
      <c r="W91" s="872">
        <v>0</v>
      </c>
      <c r="X91" s="872">
        <v>0</v>
      </c>
      <c r="Y91" s="874">
        <v>0</v>
      </c>
      <c r="Z91" s="872"/>
      <c r="AA91" s="871"/>
      <c r="AB91" s="858">
        <v>0</v>
      </c>
      <c r="AC91" s="872">
        <v>0</v>
      </c>
      <c r="AD91" s="872">
        <v>0</v>
      </c>
      <c r="AE91" s="874">
        <v>0</v>
      </c>
      <c r="AF91" s="872"/>
      <c r="AG91" s="871"/>
      <c r="AH91" s="858">
        <v>0</v>
      </c>
      <c r="AI91" s="872">
        <v>0</v>
      </c>
      <c r="AJ91" s="872">
        <v>0</v>
      </c>
      <c r="AK91" s="874">
        <v>0</v>
      </c>
      <c r="AL91" s="858"/>
      <c r="AM91" s="871">
        <v>0.2</v>
      </c>
      <c r="AN91" s="858">
        <v>10.9604471563489</v>
      </c>
      <c r="AO91" s="872">
        <v>10.3400444871216</v>
      </c>
      <c r="AP91" s="872">
        <v>0.620402669227294</v>
      </c>
      <c r="AQ91" s="874">
        <v>0.2</v>
      </c>
      <c r="AR91" s="872"/>
      <c r="AS91" s="872"/>
      <c r="AT91" s="858">
        <v>0</v>
      </c>
      <c r="AU91" s="872">
        <v>0</v>
      </c>
      <c r="AV91" s="872">
        <v>0</v>
      </c>
      <c r="AW91" s="874">
        <v>0.2</v>
      </c>
      <c r="AX91" s="872"/>
      <c r="AY91" s="872"/>
      <c r="AZ91" s="858">
        <v>0</v>
      </c>
      <c r="BA91" s="872">
        <v>0</v>
      </c>
      <c r="BB91" s="872">
        <v>0</v>
      </c>
      <c r="BC91" s="874">
        <v>0.2</v>
      </c>
      <c r="BD91" s="872"/>
      <c r="BE91" s="871"/>
      <c r="BF91" s="858">
        <v>0</v>
      </c>
      <c r="BG91" s="872">
        <v>0</v>
      </c>
      <c r="BH91" s="872">
        <v>0</v>
      </c>
      <c r="BI91" s="874">
        <v>0.2</v>
      </c>
      <c r="BJ91" s="858" t="s">
        <v>1441</v>
      </c>
      <c r="BK91" s="871">
        <v>0.3</v>
      </c>
      <c r="BL91" s="858">
        <v>16.4406707345233</v>
      </c>
      <c r="BM91" s="872">
        <v>15.5100667306823</v>
      </c>
      <c r="BN91" s="872">
        <v>0.930604003840941</v>
      </c>
      <c r="BO91" s="874">
        <v>0.5</v>
      </c>
      <c r="BP91" s="858" t="s">
        <v>1441</v>
      </c>
      <c r="BQ91" s="871">
        <v>0.2</v>
      </c>
      <c r="BR91" s="858">
        <v>10.9604471563489</v>
      </c>
      <c r="BS91" s="872">
        <v>10.3400444871216</v>
      </c>
      <c r="BT91" s="872">
        <v>0.620402669227294</v>
      </c>
      <c r="BU91" s="874">
        <v>0.7</v>
      </c>
      <c r="BV91" s="872"/>
      <c r="BW91" s="871"/>
      <c r="BX91" s="858">
        <v>0</v>
      </c>
      <c r="BY91" s="872">
        <v>0</v>
      </c>
      <c r="BZ91" s="872">
        <v>0</v>
      </c>
      <c r="CA91" s="874">
        <v>0.7</v>
      </c>
      <c r="CB91" s="872"/>
      <c r="CC91" s="871"/>
      <c r="CD91" s="858">
        <v>0</v>
      </c>
      <c r="CE91" s="872">
        <v>0</v>
      </c>
      <c r="CF91" s="872">
        <v>0</v>
      </c>
      <c r="CG91" s="874">
        <v>0.7</v>
      </c>
      <c r="CH91" s="872"/>
      <c r="CI91" s="872"/>
      <c r="CJ91" s="858">
        <v>0</v>
      </c>
      <c r="CK91" s="872">
        <v>0</v>
      </c>
      <c r="CL91" s="872">
        <v>0</v>
      </c>
      <c r="CM91" s="874">
        <v>0.7</v>
      </c>
      <c r="CN91" s="872"/>
      <c r="CO91" s="872"/>
      <c r="CP91" s="858">
        <v>0</v>
      </c>
      <c r="CQ91" s="872">
        <v>0</v>
      </c>
      <c r="CR91" s="872">
        <v>0</v>
      </c>
      <c r="CS91" s="874">
        <v>0.7</v>
      </c>
      <c r="CT91" s="858" t="s">
        <v>1441</v>
      </c>
      <c r="CU91" s="871">
        <v>0.3</v>
      </c>
      <c r="CV91" s="858">
        <v>16.4406707345233</v>
      </c>
      <c r="CW91" s="872">
        <v>15.5100667306823</v>
      </c>
      <c r="CX91" s="872">
        <v>0.930604003840941</v>
      </c>
      <c r="CY91" s="874">
        <v>1</v>
      </c>
      <c r="CZ91" s="872"/>
      <c r="DA91" s="871"/>
      <c r="DB91" s="858">
        <v>0</v>
      </c>
      <c r="DC91" s="872">
        <v>0</v>
      </c>
      <c r="DD91" s="872">
        <v>0</v>
      </c>
      <c r="DE91" s="874">
        <v>1</v>
      </c>
      <c r="DF91" s="872"/>
      <c r="DG91" s="871"/>
      <c r="DH91" s="858">
        <v>0</v>
      </c>
      <c r="DI91" s="872">
        <v>0</v>
      </c>
      <c r="DJ91" s="872">
        <v>0</v>
      </c>
      <c r="DK91" s="874">
        <v>1</v>
      </c>
      <c r="DL91" s="872"/>
      <c r="DM91" s="871"/>
      <c r="DN91" s="858">
        <v>0</v>
      </c>
      <c r="DO91" s="872">
        <v>0</v>
      </c>
      <c r="DP91" s="872">
        <v>0</v>
      </c>
      <c r="DQ91" s="872">
        <v>0</v>
      </c>
    </row>
    <row r="92" s="861" customFormat="1" ht="14.25" customHeight="1" spans="1:121">
      <c r="A92" s="852">
        <v>90</v>
      </c>
      <c r="B92" s="853" t="s">
        <v>546</v>
      </c>
      <c r="C92" s="853" t="s">
        <v>1401</v>
      </c>
      <c r="D92" s="873" t="s">
        <v>1128</v>
      </c>
      <c r="E92" s="869">
        <v>0</v>
      </c>
      <c r="F92" s="870">
        <v>0</v>
      </c>
      <c r="G92" s="874">
        <v>1</v>
      </c>
      <c r="H92" s="858" t="s">
        <v>1442</v>
      </c>
      <c r="I92" s="871">
        <v>1</v>
      </c>
      <c r="J92" s="858">
        <v>0</v>
      </c>
      <c r="K92" s="872">
        <v>0</v>
      </c>
      <c r="L92" s="872">
        <v>0</v>
      </c>
      <c r="M92" s="874">
        <v>2</v>
      </c>
      <c r="N92" s="858" t="s">
        <v>1442</v>
      </c>
      <c r="O92" s="871">
        <v>0</v>
      </c>
      <c r="P92" s="858">
        <v>0</v>
      </c>
      <c r="Q92" s="872">
        <v>0</v>
      </c>
      <c r="R92" s="872">
        <v>0</v>
      </c>
      <c r="S92" s="872"/>
      <c r="T92" s="872"/>
      <c r="U92" s="872"/>
      <c r="V92" s="858">
        <v>0</v>
      </c>
      <c r="W92" s="872">
        <v>0</v>
      </c>
      <c r="X92" s="872">
        <v>0</v>
      </c>
      <c r="Y92" s="872"/>
      <c r="Z92" s="872"/>
      <c r="AA92" s="872"/>
      <c r="AB92" s="858">
        <v>0</v>
      </c>
      <c r="AC92" s="872">
        <v>0</v>
      </c>
      <c r="AD92" s="872">
        <v>0</v>
      </c>
      <c r="AE92" s="872"/>
      <c r="AF92" s="872"/>
      <c r="AG92" s="872"/>
      <c r="AH92" s="858">
        <v>0</v>
      </c>
      <c r="AI92" s="872">
        <v>0</v>
      </c>
      <c r="AJ92" s="872">
        <v>0</v>
      </c>
      <c r="AK92" s="872"/>
      <c r="AL92" s="872"/>
      <c r="AM92" s="872"/>
      <c r="AN92" s="858">
        <v>0</v>
      </c>
      <c r="AO92" s="872">
        <v>0</v>
      </c>
      <c r="AP92" s="872">
        <v>0</v>
      </c>
      <c r="AQ92" s="872"/>
      <c r="AR92" s="872"/>
      <c r="AS92" s="872"/>
      <c r="AT92" s="858">
        <v>0</v>
      </c>
      <c r="AU92" s="872">
        <v>0</v>
      </c>
      <c r="AV92" s="872">
        <v>0</v>
      </c>
      <c r="AW92" s="872"/>
      <c r="AX92" s="872"/>
      <c r="AY92" s="872"/>
      <c r="AZ92" s="858">
        <v>0</v>
      </c>
      <c r="BA92" s="872">
        <v>0</v>
      </c>
      <c r="BB92" s="872">
        <v>0</v>
      </c>
      <c r="BC92" s="872"/>
      <c r="BD92" s="872"/>
      <c r="BE92" s="872"/>
      <c r="BF92" s="858">
        <v>0</v>
      </c>
      <c r="BG92" s="872">
        <v>0</v>
      </c>
      <c r="BH92" s="872">
        <v>0</v>
      </c>
      <c r="BI92" s="872"/>
      <c r="BJ92" s="872"/>
      <c r="BK92" s="872"/>
      <c r="BL92" s="858">
        <v>0</v>
      </c>
      <c r="BM92" s="872">
        <v>0</v>
      </c>
      <c r="BN92" s="872">
        <v>0</v>
      </c>
      <c r="BO92" s="872"/>
      <c r="BP92" s="872"/>
      <c r="BQ92" s="872"/>
      <c r="BR92" s="858">
        <v>0</v>
      </c>
      <c r="BS92" s="872">
        <v>0</v>
      </c>
      <c r="BT92" s="872">
        <v>0</v>
      </c>
      <c r="BU92" s="872"/>
      <c r="BV92" s="872"/>
      <c r="BW92" s="872"/>
      <c r="BX92" s="858">
        <v>0</v>
      </c>
      <c r="BY92" s="872">
        <v>0</v>
      </c>
      <c r="BZ92" s="872">
        <v>0</v>
      </c>
      <c r="CA92" s="872"/>
      <c r="CB92" s="872"/>
      <c r="CC92" s="872"/>
      <c r="CD92" s="858">
        <v>0</v>
      </c>
      <c r="CE92" s="872">
        <v>0</v>
      </c>
      <c r="CF92" s="872">
        <v>0</v>
      </c>
      <c r="CG92" s="872"/>
      <c r="CH92" s="872"/>
      <c r="CI92" s="872"/>
      <c r="CJ92" s="858">
        <v>0</v>
      </c>
      <c r="CK92" s="872">
        <v>0</v>
      </c>
      <c r="CL92" s="872">
        <v>0</v>
      </c>
      <c r="CM92" s="872"/>
      <c r="CN92" s="872"/>
      <c r="CO92" s="872"/>
      <c r="CP92" s="858">
        <v>0</v>
      </c>
      <c r="CQ92" s="872">
        <v>0</v>
      </c>
      <c r="CR92" s="872">
        <v>0</v>
      </c>
      <c r="CS92" s="872"/>
      <c r="CT92" s="872"/>
      <c r="CU92" s="872"/>
      <c r="CV92" s="858">
        <v>0</v>
      </c>
      <c r="CW92" s="872">
        <v>0</v>
      </c>
      <c r="CX92" s="872">
        <v>0</v>
      </c>
      <c r="CY92" s="872"/>
      <c r="CZ92" s="872"/>
      <c r="DA92" s="872"/>
      <c r="DB92" s="858">
        <v>0</v>
      </c>
      <c r="DC92" s="872">
        <v>0</v>
      </c>
      <c r="DD92" s="872">
        <v>0</v>
      </c>
      <c r="DE92" s="872"/>
      <c r="DF92" s="872"/>
      <c r="DG92" s="872"/>
      <c r="DH92" s="858">
        <v>0</v>
      </c>
      <c r="DI92" s="872">
        <v>0</v>
      </c>
      <c r="DJ92" s="872">
        <v>0</v>
      </c>
      <c r="DK92" s="872"/>
      <c r="DL92" s="872"/>
      <c r="DM92" s="872"/>
      <c r="DN92" s="858">
        <v>0</v>
      </c>
      <c r="DO92" s="872">
        <v>0</v>
      </c>
      <c r="DP92" s="872">
        <v>0</v>
      </c>
      <c r="DQ92" s="872">
        <v>0</v>
      </c>
    </row>
    <row r="93" s="861" customFormat="1" ht="14.25" customHeight="1" spans="1:121">
      <c r="A93" s="852">
        <v>91</v>
      </c>
      <c r="B93" s="853" t="s">
        <v>1345</v>
      </c>
      <c r="C93" s="853" t="s">
        <v>1401</v>
      </c>
      <c r="D93" s="766" t="s">
        <v>1142</v>
      </c>
      <c r="E93" s="869">
        <v>0</v>
      </c>
      <c r="F93" s="870">
        <v>0.11</v>
      </c>
      <c r="G93" s="872">
        <v>0</v>
      </c>
      <c r="H93" s="858" t="s">
        <v>1441</v>
      </c>
      <c r="I93" s="871">
        <v>0</v>
      </c>
      <c r="J93" s="858">
        <v>0</v>
      </c>
      <c r="K93" s="872">
        <v>0</v>
      </c>
      <c r="L93" s="872">
        <v>0</v>
      </c>
      <c r="M93" s="874">
        <v>0</v>
      </c>
      <c r="N93" s="858" t="s">
        <v>1441</v>
      </c>
      <c r="O93" s="871">
        <v>0.02</v>
      </c>
      <c r="P93" s="858">
        <v>0</v>
      </c>
      <c r="Q93" s="872">
        <v>0</v>
      </c>
      <c r="R93" s="872">
        <v>0</v>
      </c>
      <c r="S93" s="874">
        <v>0.02</v>
      </c>
      <c r="T93" s="858" t="s">
        <v>1441</v>
      </c>
      <c r="U93" s="871">
        <v>0.03</v>
      </c>
      <c r="V93" s="858">
        <v>0</v>
      </c>
      <c r="W93" s="872">
        <v>0</v>
      </c>
      <c r="X93" s="872">
        <v>0</v>
      </c>
      <c r="Y93" s="874">
        <v>0.05</v>
      </c>
      <c r="Z93" s="858" t="s">
        <v>1441</v>
      </c>
      <c r="AA93" s="871">
        <v>0.05</v>
      </c>
      <c r="AB93" s="858">
        <v>0</v>
      </c>
      <c r="AC93" s="872">
        <v>0</v>
      </c>
      <c r="AD93" s="872">
        <v>0</v>
      </c>
      <c r="AE93" s="874">
        <v>0.1</v>
      </c>
      <c r="AF93" s="858" t="s">
        <v>1441</v>
      </c>
      <c r="AG93" s="889">
        <v>0.3</v>
      </c>
      <c r="AH93" s="858">
        <v>0</v>
      </c>
      <c r="AI93" s="872">
        <v>0</v>
      </c>
      <c r="AJ93" s="872">
        <v>0</v>
      </c>
      <c r="AK93" s="874">
        <v>0.4</v>
      </c>
      <c r="AL93" s="858" t="s">
        <v>1441</v>
      </c>
      <c r="AM93" s="871">
        <v>0.05</v>
      </c>
      <c r="AN93" s="858">
        <v>0</v>
      </c>
      <c r="AO93" s="872">
        <v>0</v>
      </c>
      <c r="AP93" s="872">
        <v>0</v>
      </c>
      <c r="AQ93" s="874">
        <v>0.45</v>
      </c>
      <c r="AR93" s="858" t="s">
        <v>1441</v>
      </c>
      <c r="AS93" s="871">
        <v>0.1</v>
      </c>
      <c r="AT93" s="858">
        <v>0</v>
      </c>
      <c r="AU93" s="872">
        <v>0</v>
      </c>
      <c r="AV93" s="872">
        <v>0</v>
      </c>
      <c r="AW93" s="874">
        <v>0.55</v>
      </c>
      <c r="AX93" s="858" t="s">
        <v>1441</v>
      </c>
      <c r="AY93" s="871">
        <v>0.15</v>
      </c>
      <c r="AZ93" s="858">
        <v>0</v>
      </c>
      <c r="BA93" s="872">
        <v>0</v>
      </c>
      <c r="BB93" s="872">
        <v>0</v>
      </c>
      <c r="BC93" s="874">
        <v>0.7</v>
      </c>
      <c r="BD93" s="858" t="s">
        <v>1441</v>
      </c>
      <c r="BE93" s="871">
        <v>0</v>
      </c>
      <c r="BF93" s="858">
        <v>0</v>
      </c>
      <c r="BG93" s="872">
        <v>0</v>
      </c>
      <c r="BH93" s="872">
        <v>0</v>
      </c>
      <c r="BI93" s="874">
        <v>0.7</v>
      </c>
      <c r="BJ93" s="858" t="s">
        <v>1441</v>
      </c>
      <c r="BK93" s="871">
        <v>0.05</v>
      </c>
      <c r="BL93" s="858">
        <v>0</v>
      </c>
      <c r="BM93" s="872">
        <v>0</v>
      </c>
      <c r="BN93" s="872">
        <v>0</v>
      </c>
      <c r="BO93" s="874">
        <v>0.75</v>
      </c>
      <c r="BP93" s="858" t="s">
        <v>1441</v>
      </c>
      <c r="BQ93" s="871">
        <v>0</v>
      </c>
      <c r="BR93" s="858">
        <v>0</v>
      </c>
      <c r="BS93" s="872">
        <v>0</v>
      </c>
      <c r="BT93" s="872">
        <v>0</v>
      </c>
      <c r="BU93" s="874">
        <v>0.75</v>
      </c>
      <c r="BV93" s="858" t="s">
        <v>1441</v>
      </c>
      <c r="BW93" s="871">
        <v>0.05</v>
      </c>
      <c r="BX93" s="858">
        <v>0</v>
      </c>
      <c r="BY93" s="872">
        <v>0</v>
      </c>
      <c r="BZ93" s="872">
        <v>0</v>
      </c>
      <c r="CA93" s="874">
        <v>0.8</v>
      </c>
      <c r="CB93" s="858" t="s">
        <v>1441</v>
      </c>
      <c r="CC93" s="871">
        <v>0.05</v>
      </c>
      <c r="CD93" s="858">
        <v>0</v>
      </c>
      <c r="CE93" s="872">
        <v>0</v>
      </c>
      <c r="CF93" s="872">
        <v>0</v>
      </c>
      <c r="CG93" s="874">
        <v>0.85</v>
      </c>
      <c r="CH93" s="858" t="s">
        <v>1441</v>
      </c>
      <c r="CI93" s="871">
        <v>0</v>
      </c>
      <c r="CJ93" s="858">
        <v>0</v>
      </c>
      <c r="CK93" s="872">
        <v>0</v>
      </c>
      <c r="CL93" s="872">
        <v>0</v>
      </c>
      <c r="CM93" s="874">
        <v>0.85</v>
      </c>
      <c r="CN93" s="858" t="s">
        <v>1441</v>
      </c>
      <c r="CO93" s="871">
        <v>0</v>
      </c>
      <c r="CP93" s="858">
        <v>0</v>
      </c>
      <c r="CQ93" s="872">
        <v>0</v>
      </c>
      <c r="CR93" s="872">
        <v>0</v>
      </c>
      <c r="CS93" s="874">
        <v>0.85</v>
      </c>
      <c r="CT93" s="858" t="s">
        <v>1441</v>
      </c>
      <c r="CU93" s="871">
        <v>0</v>
      </c>
      <c r="CV93" s="858">
        <v>0</v>
      </c>
      <c r="CW93" s="872">
        <v>0</v>
      </c>
      <c r="CX93" s="872">
        <v>0</v>
      </c>
      <c r="CY93" s="874">
        <v>0.85</v>
      </c>
      <c r="CZ93" s="858" t="s">
        <v>1441</v>
      </c>
      <c r="DA93" s="871">
        <v>0</v>
      </c>
      <c r="DB93" s="858">
        <v>0</v>
      </c>
      <c r="DC93" s="872">
        <v>0</v>
      </c>
      <c r="DD93" s="872">
        <v>0</v>
      </c>
      <c r="DE93" s="874">
        <v>0.85</v>
      </c>
      <c r="DF93" s="858" t="s">
        <v>1442</v>
      </c>
      <c r="DG93" s="871">
        <v>0.1</v>
      </c>
      <c r="DH93" s="858">
        <v>0</v>
      </c>
      <c r="DI93" s="872">
        <v>0</v>
      </c>
      <c r="DJ93" s="872">
        <v>0</v>
      </c>
      <c r="DK93" s="874">
        <v>0.95</v>
      </c>
      <c r="DL93" s="858" t="s">
        <v>1443</v>
      </c>
      <c r="DM93" s="871">
        <v>0.05</v>
      </c>
      <c r="DN93" s="858">
        <v>0</v>
      </c>
      <c r="DO93" s="872">
        <v>0</v>
      </c>
      <c r="DP93" s="872">
        <v>0</v>
      </c>
      <c r="DQ93" s="872">
        <v>0</v>
      </c>
    </row>
    <row r="94" s="861" customFormat="1" ht="14.25" customHeight="1" spans="1:121">
      <c r="A94" s="852">
        <v>92</v>
      </c>
      <c r="B94" s="853" t="s">
        <v>1345</v>
      </c>
      <c r="C94" s="853" t="s">
        <v>1401</v>
      </c>
      <c r="D94" s="873" t="s">
        <v>1147</v>
      </c>
      <c r="E94" s="869">
        <v>112.701013986616</v>
      </c>
      <c r="F94" s="870">
        <v>0.03</v>
      </c>
      <c r="G94" s="872">
        <v>0</v>
      </c>
      <c r="H94" s="858" t="s">
        <v>1441</v>
      </c>
      <c r="I94" s="871">
        <v>0</v>
      </c>
      <c r="J94" s="858">
        <v>0</v>
      </c>
      <c r="K94" s="872">
        <v>0</v>
      </c>
      <c r="L94" s="872">
        <v>0</v>
      </c>
      <c r="M94" s="874">
        <v>0</v>
      </c>
      <c r="N94" s="858" t="s">
        <v>1441</v>
      </c>
      <c r="O94" s="871">
        <v>0.05</v>
      </c>
      <c r="P94" s="858">
        <v>5.6350506993308</v>
      </c>
      <c r="Q94" s="872">
        <v>5.47092300905903</v>
      </c>
      <c r="R94" s="872">
        <v>0.164127690271771</v>
      </c>
      <c r="S94" s="874">
        <v>0.05</v>
      </c>
      <c r="T94" s="858" t="s">
        <v>1441</v>
      </c>
      <c r="U94" s="871">
        <v>0.05</v>
      </c>
      <c r="V94" s="858">
        <v>5.6350506993308</v>
      </c>
      <c r="W94" s="872">
        <v>5.47092300905903</v>
      </c>
      <c r="X94" s="872">
        <v>0.164127690271771</v>
      </c>
      <c r="Y94" s="874">
        <v>0.1</v>
      </c>
      <c r="Z94" s="858" t="s">
        <v>1441</v>
      </c>
      <c r="AA94" s="871">
        <v>0.05</v>
      </c>
      <c r="AB94" s="858">
        <v>5.6350506993308</v>
      </c>
      <c r="AC94" s="872">
        <v>5.47092300905903</v>
      </c>
      <c r="AD94" s="872">
        <v>0.164127690271771</v>
      </c>
      <c r="AE94" s="874">
        <v>0.15</v>
      </c>
      <c r="AF94" s="858" t="s">
        <v>1441</v>
      </c>
      <c r="AG94" s="890">
        <v>0.08</v>
      </c>
      <c r="AH94" s="858">
        <v>9.01608111892927</v>
      </c>
      <c r="AI94" s="872">
        <v>8.75347681449444</v>
      </c>
      <c r="AJ94" s="872">
        <v>0.262604304434834</v>
      </c>
      <c r="AK94" s="874">
        <v>0.23</v>
      </c>
      <c r="AL94" s="858" t="s">
        <v>1441</v>
      </c>
      <c r="AM94" s="871">
        <v>0.3</v>
      </c>
      <c r="AN94" s="858">
        <v>33.8103041959848</v>
      </c>
      <c r="AO94" s="872">
        <v>32.8255380543542</v>
      </c>
      <c r="AP94" s="872">
        <v>0.984766141630622</v>
      </c>
      <c r="AQ94" s="874">
        <v>0.53</v>
      </c>
      <c r="AR94" s="858" t="s">
        <v>1441</v>
      </c>
      <c r="AS94" s="871">
        <v>0.02</v>
      </c>
      <c r="AT94" s="858">
        <v>2.25402027973232</v>
      </c>
      <c r="AU94" s="872">
        <v>2.18836920362361</v>
      </c>
      <c r="AV94" s="872">
        <v>0.0656510761087086</v>
      </c>
      <c r="AW94" s="874">
        <v>0.55</v>
      </c>
      <c r="AX94" s="858" t="s">
        <v>1441</v>
      </c>
      <c r="AY94" s="871">
        <v>0.1</v>
      </c>
      <c r="AZ94" s="858">
        <v>11.2701013986616</v>
      </c>
      <c r="BA94" s="872">
        <v>10.9418460181181</v>
      </c>
      <c r="BB94" s="872">
        <v>0.328255380543542</v>
      </c>
      <c r="BC94" s="874">
        <v>0.65</v>
      </c>
      <c r="BD94" s="858" t="s">
        <v>1441</v>
      </c>
      <c r="BE94" s="871">
        <v>0.1</v>
      </c>
      <c r="BF94" s="858">
        <v>11.2701013986616</v>
      </c>
      <c r="BG94" s="872">
        <v>10.9418460181181</v>
      </c>
      <c r="BH94" s="872">
        <v>0.328255380543542</v>
      </c>
      <c r="BI94" s="874">
        <v>0.75</v>
      </c>
      <c r="BJ94" s="858" t="s">
        <v>1441</v>
      </c>
      <c r="BK94" s="871">
        <v>0.05</v>
      </c>
      <c r="BL94" s="858">
        <v>5.6350506993308</v>
      </c>
      <c r="BM94" s="872">
        <v>5.47092300905903</v>
      </c>
      <c r="BN94" s="872">
        <v>0.164127690271771</v>
      </c>
      <c r="BO94" s="874">
        <v>0.8</v>
      </c>
      <c r="BP94" s="858" t="s">
        <v>1441</v>
      </c>
      <c r="BQ94" s="871">
        <v>0.05</v>
      </c>
      <c r="BR94" s="858">
        <v>5.6350506993308</v>
      </c>
      <c r="BS94" s="872">
        <v>5.47092300905903</v>
      </c>
      <c r="BT94" s="872">
        <v>0.164127690271771</v>
      </c>
      <c r="BU94" s="874">
        <v>0.85</v>
      </c>
      <c r="BV94" s="858" t="s">
        <v>1441</v>
      </c>
      <c r="BW94" s="871">
        <v>0</v>
      </c>
      <c r="BX94" s="858">
        <v>0</v>
      </c>
      <c r="BY94" s="872">
        <v>0</v>
      </c>
      <c r="BZ94" s="872">
        <v>0</v>
      </c>
      <c r="CA94" s="874">
        <v>0.85</v>
      </c>
      <c r="CB94" s="858" t="s">
        <v>1441</v>
      </c>
      <c r="CC94" s="871">
        <v>0</v>
      </c>
      <c r="CD94" s="858">
        <v>0</v>
      </c>
      <c r="CE94" s="872">
        <v>0</v>
      </c>
      <c r="CF94" s="872">
        <v>0</v>
      </c>
      <c r="CG94" s="874">
        <v>0.85</v>
      </c>
      <c r="CH94" s="858" t="s">
        <v>1441</v>
      </c>
      <c r="CI94" s="871">
        <v>0</v>
      </c>
      <c r="CJ94" s="858">
        <v>0</v>
      </c>
      <c r="CK94" s="872">
        <v>0</v>
      </c>
      <c r="CL94" s="872">
        <v>0</v>
      </c>
      <c r="CM94" s="874">
        <v>0.85</v>
      </c>
      <c r="CN94" s="858" t="s">
        <v>1441</v>
      </c>
      <c r="CO94" s="871">
        <v>0</v>
      </c>
      <c r="CP94" s="858">
        <v>0</v>
      </c>
      <c r="CQ94" s="872">
        <v>0</v>
      </c>
      <c r="CR94" s="872">
        <v>0</v>
      </c>
      <c r="CS94" s="874">
        <v>0.85</v>
      </c>
      <c r="CT94" s="858" t="s">
        <v>1441</v>
      </c>
      <c r="CU94" s="871">
        <v>0</v>
      </c>
      <c r="CV94" s="858">
        <v>0</v>
      </c>
      <c r="CW94" s="872">
        <v>0</v>
      </c>
      <c r="CX94" s="872">
        <v>0</v>
      </c>
      <c r="CY94" s="874">
        <v>0.85</v>
      </c>
      <c r="CZ94" s="858" t="s">
        <v>1441</v>
      </c>
      <c r="DA94" s="871">
        <v>0</v>
      </c>
      <c r="DB94" s="858">
        <v>0</v>
      </c>
      <c r="DC94" s="872">
        <v>0</v>
      </c>
      <c r="DD94" s="872">
        <v>0</v>
      </c>
      <c r="DE94" s="874">
        <v>0.85</v>
      </c>
      <c r="DF94" s="858" t="s">
        <v>1442</v>
      </c>
      <c r="DG94" s="871">
        <v>0.1</v>
      </c>
      <c r="DH94" s="858">
        <v>11.2701013986616</v>
      </c>
      <c r="DI94" s="872">
        <v>10.9418460181181</v>
      </c>
      <c r="DJ94" s="872">
        <v>0.328255380543542</v>
      </c>
      <c r="DK94" s="874">
        <v>0.95</v>
      </c>
      <c r="DL94" s="858" t="s">
        <v>1443</v>
      </c>
      <c r="DM94" s="871">
        <v>0.05</v>
      </c>
      <c r="DN94" s="858">
        <v>5.6350506993308</v>
      </c>
      <c r="DO94" s="872">
        <v>5.47092300905903</v>
      </c>
      <c r="DP94" s="872">
        <v>0.164127690271771</v>
      </c>
      <c r="DQ94" s="872">
        <v>0</v>
      </c>
    </row>
    <row r="95" s="861" customFormat="1" ht="14.25" customHeight="1" spans="1:121">
      <c r="A95" s="852">
        <v>93</v>
      </c>
      <c r="B95" s="853" t="s">
        <v>1345</v>
      </c>
      <c r="C95" s="853" t="s">
        <v>1401</v>
      </c>
      <c r="D95" s="873" t="s">
        <v>1150</v>
      </c>
      <c r="E95" s="869">
        <v>37.0928580014202</v>
      </c>
      <c r="F95" s="870">
        <v>0.13</v>
      </c>
      <c r="G95" s="872">
        <v>0</v>
      </c>
      <c r="H95" s="858" t="s">
        <v>1441</v>
      </c>
      <c r="I95" s="871">
        <v>0</v>
      </c>
      <c r="J95" s="858">
        <v>0</v>
      </c>
      <c r="K95" s="872">
        <v>0</v>
      </c>
      <c r="L95" s="872">
        <v>0</v>
      </c>
      <c r="M95" s="874">
        <v>0</v>
      </c>
      <c r="N95" s="858" t="s">
        <v>1441</v>
      </c>
      <c r="O95" s="871">
        <v>0.03</v>
      </c>
      <c r="P95" s="858">
        <v>1.11278574004261</v>
      </c>
      <c r="Q95" s="872">
        <v>0.984766141630624</v>
      </c>
      <c r="R95" s="872">
        <v>0.128019598411981</v>
      </c>
      <c r="S95" s="874">
        <v>0.03</v>
      </c>
      <c r="T95" s="858" t="s">
        <v>1441</v>
      </c>
      <c r="U95" s="871">
        <v>0.05</v>
      </c>
      <c r="V95" s="858">
        <v>1.85464290007101</v>
      </c>
      <c r="W95" s="872">
        <v>1.64127690271771</v>
      </c>
      <c r="X95" s="872">
        <v>0.213365997353302</v>
      </c>
      <c r="Y95" s="874">
        <v>0.08</v>
      </c>
      <c r="Z95" s="858" t="s">
        <v>1441</v>
      </c>
      <c r="AA95" s="871">
        <v>0.05</v>
      </c>
      <c r="AB95" s="858">
        <v>1.85464290007101</v>
      </c>
      <c r="AC95" s="872">
        <v>1.64127690271771</v>
      </c>
      <c r="AD95" s="872">
        <v>0.213365997353302</v>
      </c>
      <c r="AE95" s="874">
        <v>0.13</v>
      </c>
      <c r="AF95" s="858" t="s">
        <v>1441</v>
      </c>
      <c r="AG95" s="890">
        <v>0.08</v>
      </c>
      <c r="AH95" s="858">
        <v>2.96742864011362</v>
      </c>
      <c r="AI95" s="872">
        <v>2.62604304434833</v>
      </c>
      <c r="AJ95" s="872">
        <v>0.341385595765283</v>
      </c>
      <c r="AK95" s="874">
        <v>0.21</v>
      </c>
      <c r="AL95" s="858" t="s">
        <v>1441</v>
      </c>
      <c r="AM95" s="871">
        <v>0.3</v>
      </c>
      <c r="AN95" s="858">
        <v>11.1278574004261</v>
      </c>
      <c r="AO95" s="872">
        <v>9.84766141630625</v>
      </c>
      <c r="AP95" s="872">
        <v>1.28019598411981</v>
      </c>
      <c r="AQ95" s="874">
        <v>0.51</v>
      </c>
      <c r="AR95" s="858" t="s">
        <v>1441</v>
      </c>
      <c r="AS95" s="871">
        <v>0.04</v>
      </c>
      <c r="AT95" s="858">
        <v>1.48371432005681</v>
      </c>
      <c r="AU95" s="872">
        <v>1.31302152217417</v>
      </c>
      <c r="AV95" s="872">
        <v>0.170692797882642</v>
      </c>
      <c r="AW95" s="874">
        <v>0.55</v>
      </c>
      <c r="AX95" s="858" t="s">
        <v>1441</v>
      </c>
      <c r="AY95" s="871">
        <v>0.1</v>
      </c>
      <c r="AZ95" s="858">
        <v>3.70928580014202</v>
      </c>
      <c r="BA95" s="872">
        <v>3.28255380543542</v>
      </c>
      <c r="BB95" s="872">
        <v>0.426731994706604</v>
      </c>
      <c r="BC95" s="874">
        <v>0.65</v>
      </c>
      <c r="BD95" s="858" t="s">
        <v>1441</v>
      </c>
      <c r="BE95" s="871">
        <v>0.1</v>
      </c>
      <c r="BF95" s="858">
        <v>3.70928580014202</v>
      </c>
      <c r="BG95" s="872">
        <v>3.28255380543542</v>
      </c>
      <c r="BH95" s="872">
        <v>0.426731994706604</v>
      </c>
      <c r="BI95" s="874">
        <v>0.75</v>
      </c>
      <c r="BJ95" s="858" t="s">
        <v>1441</v>
      </c>
      <c r="BK95" s="871">
        <v>0.05</v>
      </c>
      <c r="BL95" s="858">
        <v>1.85464290007101</v>
      </c>
      <c r="BM95" s="872">
        <v>1.64127690271771</v>
      </c>
      <c r="BN95" s="872">
        <v>0.213365997353302</v>
      </c>
      <c r="BO95" s="874">
        <v>0.8</v>
      </c>
      <c r="BP95" s="858" t="s">
        <v>1441</v>
      </c>
      <c r="BQ95" s="871">
        <v>0.05</v>
      </c>
      <c r="BR95" s="858">
        <v>1.85464290007101</v>
      </c>
      <c r="BS95" s="872">
        <v>1.64127690271771</v>
      </c>
      <c r="BT95" s="872">
        <v>0.213365997353302</v>
      </c>
      <c r="BU95" s="874">
        <v>0.85</v>
      </c>
      <c r="BV95" s="858" t="s">
        <v>1441</v>
      </c>
      <c r="BW95" s="871">
        <v>0</v>
      </c>
      <c r="BX95" s="858">
        <v>0</v>
      </c>
      <c r="BY95" s="872">
        <v>0</v>
      </c>
      <c r="BZ95" s="872">
        <v>0</v>
      </c>
      <c r="CA95" s="874">
        <v>0.85</v>
      </c>
      <c r="CB95" s="858" t="s">
        <v>1441</v>
      </c>
      <c r="CC95" s="871">
        <v>0</v>
      </c>
      <c r="CD95" s="858">
        <v>0</v>
      </c>
      <c r="CE95" s="872">
        <v>0</v>
      </c>
      <c r="CF95" s="872">
        <v>0</v>
      </c>
      <c r="CG95" s="874">
        <v>0.85</v>
      </c>
      <c r="CH95" s="858" t="s">
        <v>1441</v>
      </c>
      <c r="CI95" s="871">
        <v>0</v>
      </c>
      <c r="CJ95" s="858">
        <v>0</v>
      </c>
      <c r="CK95" s="872">
        <v>0</v>
      </c>
      <c r="CL95" s="872">
        <v>0</v>
      </c>
      <c r="CM95" s="874">
        <v>0.85</v>
      </c>
      <c r="CN95" s="858" t="s">
        <v>1441</v>
      </c>
      <c r="CO95" s="871">
        <v>0</v>
      </c>
      <c r="CP95" s="858">
        <v>0</v>
      </c>
      <c r="CQ95" s="872">
        <v>0</v>
      </c>
      <c r="CR95" s="872">
        <v>0</v>
      </c>
      <c r="CS95" s="874">
        <v>0.85</v>
      </c>
      <c r="CT95" s="858" t="s">
        <v>1441</v>
      </c>
      <c r="CU95" s="871">
        <v>0</v>
      </c>
      <c r="CV95" s="858">
        <v>0</v>
      </c>
      <c r="CW95" s="872">
        <v>0</v>
      </c>
      <c r="CX95" s="872">
        <v>0</v>
      </c>
      <c r="CY95" s="874">
        <v>0.85</v>
      </c>
      <c r="CZ95" s="858" t="s">
        <v>1441</v>
      </c>
      <c r="DA95" s="871">
        <v>0</v>
      </c>
      <c r="DB95" s="858">
        <v>0</v>
      </c>
      <c r="DC95" s="872">
        <v>0</v>
      </c>
      <c r="DD95" s="872">
        <v>0</v>
      </c>
      <c r="DE95" s="874">
        <v>0.85</v>
      </c>
      <c r="DF95" s="858" t="s">
        <v>1442</v>
      </c>
      <c r="DG95" s="871">
        <v>0.1</v>
      </c>
      <c r="DH95" s="858">
        <v>3.70928580014202</v>
      </c>
      <c r="DI95" s="872">
        <v>3.28255380543542</v>
      </c>
      <c r="DJ95" s="872">
        <v>0.426731994706604</v>
      </c>
      <c r="DK95" s="874">
        <v>0.95</v>
      </c>
      <c r="DL95" s="858" t="s">
        <v>1443</v>
      </c>
      <c r="DM95" s="871">
        <v>0.05</v>
      </c>
      <c r="DN95" s="858">
        <v>1.85464290007101</v>
      </c>
      <c r="DO95" s="872">
        <v>1.64127690271771</v>
      </c>
      <c r="DP95" s="872">
        <v>0.213365997353302</v>
      </c>
      <c r="DQ95" s="872">
        <v>0</v>
      </c>
    </row>
    <row r="96" s="861" customFormat="1" ht="14.25" customHeight="1" spans="1:121">
      <c r="A96" s="852">
        <v>94</v>
      </c>
      <c r="B96" s="853" t="s">
        <v>1345</v>
      </c>
      <c r="C96" s="853" t="s">
        <v>1401</v>
      </c>
      <c r="D96" s="873" t="s">
        <v>1133</v>
      </c>
      <c r="E96" s="869">
        <v>60.7272454005552</v>
      </c>
      <c r="F96" s="870">
        <v>0.11</v>
      </c>
      <c r="G96" s="872">
        <v>0</v>
      </c>
      <c r="H96" s="858" t="s">
        <v>1441</v>
      </c>
      <c r="I96" s="871">
        <v>0</v>
      </c>
      <c r="J96" s="858">
        <v>0</v>
      </c>
      <c r="K96" s="872">
        <v>0</v>
      </c>
      <c r="L96" s="872">
        <v>0</v>
      </c>
      <c r="M96" s="874">
        <v>0</v>
      </c>
      <c r="N96" s="858" t="s">
        <v>1441</v>
      </c>
      <c r="O96" s="871">
        <v>0.03</v>
      </c>
      <c r="P96" s="858">
        <v>1.82181736201666</v>
      </c>
      <c r="Q96" s="872">
        <v>1.64127690271771</v>
      </c>
      <c r="R96" s="872">
        <v>0.180540459298948</v>
      </c>
      <c r="S96" s="874">
        <v>0.03</v>
      </c>
      <c r="T96" s="858" t="s">
        <v>1441</v>
      </c>
      <c r="U96" s="871">
        <v>0.05</v>
      </c>
      <c r="V96" s="858">
        <v>3.03636227002776</v>
      </c>
      <c r="W96" s="872">
        <v>2.73546150452951</v>
      </c>
      <c r="X96" s="872">
        <v>0.300900765498247</v>
      </c>
      <c r="Y96" s="874">
        <v>0.08</v>
      </c>
      <c r="Z96" s="858" t="s">
        <v>1441</v>
      </c>
      <c r="AA96" s="871">
        <v>0.05</v>
      </c>
      <c r="AB96" s="858">
        <v>3.03636227002776</v>
      </c>
      <c r="AC96" s="872">
        <v>2.73546150452951</v>
      </c>
      <c r="AD96" s="872">
        <v>0.300900765498247</v>
      </c>
      <c r="AE96" s="874">
        <v>0.13</v>
      </c>
      <c r="AF96" s="858" t="s">
        <v>1441</v>
      </c>
      <c r="AG96" s="890">
        <v>0.08</v>
      </c>
      <c r="AH96" s="858">
        <v>4.85817963204441</v>
      </c>
      <c r="AI96" s="872">
        <v>4.37673840724722</v>
      </c>
      <c r="AJ96" s="872">
        <v>0.481441224797194</v>
      </c>
      <c r="AK96" s="874">
        <v>0.21</v>
      </c>
      <c r="AL96" s="858" t="s">
        <v>1441</v>
      </c>
      <c r="AM96" s="871">
        <v>0.1</v>
      </c>
      <c r="AN96" s="858">
        <v>6.07272454005552</v>
      </c>
      <c r="AO96" s="872">
        <v>5.47092300905903</v>
      </c>
      <c r="AP96" s="872">
        <v>0.601801530996493</v>
      </c>
      <c r="AQ96" s="874">
        <v>0.31</v>
      </c>
      <c r="AR96" s="858" t="s">
        <v>1441</v>
      </c>
      <c r="AS96" s="871">
        <v>0.05</v>
      </c>
      <c r="AT96" s="858">
        <v>3.03636227002776</v>
      </c>
      <c r="AU96" s="872">
        <v>2.73546150452951</v>
      </c>
      <c r="AV96" s="872">
        <v>0.300900765498247</v>
      </c>
      <c r="AW96" s="874">
        <v>0.36</v>
      </c>
      <c r="AX96" s="858" t="s">
        <v>1441</v>
      </c>
      <c r="AY96" s="871">
        <v>0.1</v>
      </c>
      <c r="AZ96" s="858">
        <v>6.07272454005552</v>
      </c>
      <c r="BA96" s="872">
        <v>5.47092300905903</v>
      </c>
      <c r="BB96" s="872">
        <v>0.601801530996493</v>
      </c>
      <c r="BC96" s="874">
        <v>0.46</v>
      </c>
      <c r="BD96" s="858" t="s">
        <v>1441</v>
      </c>
      <c r="BE96" s="871">
        <v>0.1</v>
      </c>
      <c r="BF96" s="858">
        <v>6.07272454005552</v>
      </c>
      <c r="BG96" s="872">
        <v>5.47092300905903</v>
      </c>
      <c r="BH96" s="872">
        <v>0.601801530996493</v>
      </c>
      <c r="BI96" s="874">
        <v>0.56</v>
      </c>
      <c r="BJ96" s="858" t="s">
        <v>1441</v>
      </c>
      <c r="BK96" s="871">
        <v>0.1</v>
      </c>
      <c r="BL96" s="858">
        <v>6.07272454005552</v>
      </c>
      <c r="BM96" s="872">
        <v>5.47092300905903</v>
      </c>
      <c r="BN96" s="872">
        <v>0.601801530996493</v>
      </c>
      <c r="BO96" s="874">
        <v>0.66</v>
      </c>
      <c r="BP96" s="858" t="s">
        <v>1441</v>
      </c>
      <c r="BQ96" s="871">
        <v>0.05</v>
      </c>
      <c r="BR96" s="858">
        <v>3.03636227002776</v>
      </c>
      <c r="BS96" s="872">
        <v>2.73546150452951</v>
      </c>
      <c r="BT96" s="872">
        <v>0.300900765498247</v>
      </c>
      <c r="BU96" s="874">
        <v>0.71</v>
      </c>
      <c r="BV96" s="858" t="s">
        <v>1441</v>
      </c>
      <c r="BW96" s="871">
        <v>0.05</v>
      </c>
      <c r="BX96" s="858">
        <v>3.03636227002776</v>
      </c>
      <c r="BY96" s="872">
        <v>2.73546150452951</v>
      </c>
      <c r="BZ96" s="872">
        <v>0.300900765498247</v>
      </c>
      <c r="CA96" s="874">
        <v>0.76</v>
      </c>
      <c r="CB96" s="858" t="s">
        <v>1441</v>
      </c>
      <c r="CC96" s="871">
        <v>0.04</v>
      </c>
      <c r="CD96" s="858">
        <v>2.42908981602221</v>
      </c>
      <c r="CE96" s="872">
        <v>2.18836920362361</v>
      </c>
      <c r="CF96" s="872">
        <v>0.240720612398597</v>
      </c>
      <c r="CG96" s="874">
        <v>0.8</v>
      </c>
      <c r="CH96" s="858" t="s">
        <v>1441</v>
      </c>
      <c r="CI96" s="871">
        <v>0</v>
      </c>
      <c r="CJ96" s="858">
        <v>0</v>
      </c>
      <c r="CK96" s="872">
        <v>0</v>
      </c>
      <c r="CL96" s="872">
        <v>0</v>
      </c>
      <c r="CM96" s="874">
        <v>0.8</v>
      </c>
      <c r="CN96" s="858" t="s">
        <v>1441</v>
      </c>
      <c r="CO96" s="871">
        <v>0</v>
      </c>
      <c r="CP96" s="858">
        <v>0</v>
      </c>
      <c r="CQ96" s="872">
        <v>0</v>
      </c>
      <c r="CR96" s="872">
        <v>0</v>
      </c>
      <c r="CS96" s="874">
        <v>0.8</v>
      </c>
      <c r="CT96" s="858" t="s">
        <v>1441</v>
      </c>
      <c r="CU96" s="871">
        <v>0.05</v>
      </c>
      <c r="CV96" s="858">
        <v>3.03636227002776</v>
      </c>
      <c r="CW96" s="872">
        <v>2.73546150452951</v>
      </c>
      <c r="CX96" s="872">
        <v>0.300900765498247</v>
      </c>
      <c r="CY96" s="874">
        <v>0.85</v>
      </c>
      <c r="CZ96" s="858" t="s">
        <v>1441</v>
      </c>
      <c r="DA96" s="871">
        <v>0.05</v>
      </c>
      <c r="DB96" s="858">
        <v>3.03636227002776</v>
      </c>
      <c r="DC96" s="872">
        <v>2.73546150452951</v>
      </c>
      <c r="DD96" s="872">
        <v>0.300900765498247</v>
      </c>
      <c r="DE96" s="874">
        <v>0.9</v>
      </c>
      <c r="DF96" s="858" t="s">
        <v>1442</v>
      </c>
      <c r="DG96" s="871">
        <v>0.05</v>
      </c>
      <c r="DH96" s="858">
        <v>3.03636227002776</v>
      </c>
      <c r="DI96" s="872">
        <v>2.73546150452951</v>
      </c>
      <c r="DJ96" s="872">
        <v>0.300900765498247</v>
      </c>
      <c r="DK96" s="874">
        <v>0.95</v>
      </c>
      <c r="DL96" s="858" t="s">
        <v>1443</v>
      </c>
      <c r="DM96" s="871">
        <v>0.05</v>
      </c>
      <c r="DN96" s="858">
        <v>3.03636227002776</v>
      </c>
      <c r="DO96" s="872">
        <v>2.73546150452951</v>
      </c>
      <c r="DP96" s="872">
        <v>0.300900765498247</v>
      </c>
      <c r="DQ96" s="872">
        <v>0</v>
      </c>
    </row>
    <row r="97" s="861" customFormat="1" ht="14.25" customHeight="1" spans="1:121">
      <c r="A97" s="852">
        <v>95</v>
      </c>
      <c r="B97" s="853" t="s">
        <v>1402</v>
      </c>
      <c r="C97" s="853" t="s">
        <v>1403</v>
      </c>
      <c r="D97" s="873" t="s">
        <v>1155</v>
      </c>
      <c r="E97" s="869">
        <v>1425</v>
      </c>
      <c r="F97" s="870">
        <v>0.11</v>
      </c>
      <c r="G97" s="872">
        <v>0</v>
      </c>
      <c r="H97" s="858" t="s">
        <v>1441</v>
      </c>
      <c r="I97" s="871">
        <v>0</v>
      </c>
      <c r="J97" s="858">
        <v>0</v>
      </c>
      <c r="K97" s="872">
        <v>0</v>
      </c>
      <c r="L97" s="872">
        <v>0</v>
      </c>
      <c r="M97" s="874">
        <v>0</v>
      </c>
      <c r="N97" s="858" t="s">
        <v>1441</v>
      </c>
      <c r="O97" s="871">
        <v>0</v>
      </c>
      <c r="P97" s="858">
        <v>0</v>
      </c>
      <c r="Q97" s="872">
        <v>0</v>
      </c>
      <c r="R97" s="872">
        <v>0</v>
      </c>
      <c r="S97" s="874">
        <v>0</v>
      </c>
      <c r="T97" s="858" t="s">
        <v>1441</v>
      </c>
      <c r="U97" s="871">
        <v>0</v>
      </c>
      <c r="V97" s="858">
        <v>0</v>
      </c>
      <c r="W97" s="872">
        <v>0</v>
      </c>
      <c r="X97" s="872">
        <v>0</v>
      </c>
      <c r="Y97" s="874">
        <v>0</v>
      </c>
      <c r="Z97" s="858" t="s">
        <v>1441</v>
      </c>
      <c r="AA97" s="871">
        <v>0</v>
      </c>
      <c r="AB97" s="858">
        <v>0</v>
      </c>
      <c r="AC97" s="872">
        <v>0</v>
      </c>
      <c r="AD97" s="872">
        <v>0</v>
      </c>
      <c r="AE97" s="874">
        <v>0</v>
      </c>
      <c r="AF97" s="858" t="s">
        <v>1441</v>
      </c>
      <c r="AG97" s="889">
        <v>0</v>
      </c>
      <c r="AH97" s="858">
        <v>0</v>
      </c>
      <c r="AI97" s="872">
        <v>0</v>
      </c>
      <c r="AJ97" s="872">
        <v>0</v>
      </c>
      <c r="AK97" s="874">
        <v>0</v>
      </c>
      <c r="AL97" s="858" t="s">
        <v>1441</v>
      </c>
      <c r="AM97" s="871">
        <v>0</v>
      </c>
      <c r="AN97" s="858">
        <v>0</v>
      </c>
      <c r="AO97" s="872">
        <v>0</v>
      </c>
      <c r="AP97" s="872">
        <v>0</v>
      </c>
      <c r="AQ97" s="874">
        <v>0</v>
      </c>
      <c r="AR97" s="858" t="s">
        <v>1441</v>
      </c>
      <c r="AS97" s="871">
        <v>0</v>
      </c>
      <c r="AT97" s="858">
        <v>0</v>
      </c>
      <c r="AU97" s="872">
        <v>0</v>
      </c>
      <c r="AV97" s="872">
        <v>0</v>
      </c>
      <c r="AW97" s="874">
        <v>0</v>
      </c>
      <c r="AX97" s="858" t="s">
        <v>1441</v>
      </c>
      <c r="AY97" s="871">
        <v>0</v>
      </c>
      <c r="AZ97" s="858">
        <v>0</v>
      </c>
      <c r="BA97" s="872">
        <v>0</v>
      </c>
      <c r="BB97" s="872">
        <v>0</v>
      </c>
      <c r="BC97" s="874">
        <v>0</v>
      </c>
      <c r="BD97" s="858" t="s">
        <v>1441</v>
      </c>
      <c r="BE97" s="871">
        <v>0.8</v>
      </c>
      <c r="BF97" s="858">
        <v>1140</v>
      </c>
      <c r="BG97" s="872">
        <v>1027.02702702703</v>
      </c>
      <c r="BH97" s="872">
        <v>112.972972972973</v>
      </c>
      <c r="BI97" s="874">
        <v>0.8</v>
      </c>
      <c r="BJ97" s="858" t="s">
        <v>1442</v>
      </c>
      <c r="BK97" s="871">
        <v>0.2</v>
      </c>
      <c r="BL97" s="858">
        <v>285</v>
      </c>
      <c r="BM97" s="872">
        <v>256.756756756757</v>
      </c>
      <c r="BN97" s="872">
        <v>28.2432432432433</v>
      </c>
      <c r="BO97" s="874">
        <v>1</v>
      </c>
      <c r="BP97" s="858"/>
      <c r="BQ97" s="871">
        <v>0</v>
      </c>
      <c r="BR97" s="858">
        <v>0</v>
      </c>
      <c r="BS97" s="872">
        <v>0</v>
      </c>
      <c r="BT97" s="872">
        <v>0</v>
      </c>
      <c r="BU97" s="874">
        <v>1</v>
      </c>
      <c r="BV97" s="858"/>
      <c r="BW97" s="871">
        <v>0</v>
      </c>
      <c r="BX97" s="858">
        <v>0</v>
      </c>
      <c r="BY97" s="872">
        <v>0</v>
      </c>
      <c r="BZ97" s="872">
        <v>0</v>
      </c>
      <c r="CA97" s="874">
        <v>1</v>
      </c>
      <c r="CB97" s="858"/>
      <c r="CC97" s="871">
        <v>0</v>
      </c>
      <c r="CD97" s="858">
        <v>0</v>
      </c>
      <c r="CE97" s="872">
        <v>0</v>
      </c>
      <c r="CF97" s="872">
        <v>0</v>
      </c>
      <c r="CG97" s="874">
        <v>1</v>
      </c>
      <c r="CH97" s="858"/>
      <c r="CI97" s="871"/>
      <c r="CJ97" s="858">
        <v>0</v>
      </c>
      <c r="CK97" s="872">
        <v>0</v>
      </c>
      <c r="CL97" s="872">
        <v>0</v>
      </c>
      <c r="CM97" s="874">
        <v>1</v>
      </c>
      <c r="CN97" s="858"/>
      <c r="CO97" s="871"/>
      <c r="CP97" s="858">
        <v>0</v>
      </c>
      <c r="CQ97" s="872">
        <v>0</v>
      </c>
      <c r="CR97" s="872">
        <v>0</v>
      </c>
      <c r="CS97" s="874">
        <v>1</v>
      </c>
      <c r="CT97" s="858"/>
      <c r="CU97" s="871"/>
      <c r="CV97" s="858">
        <v>0</v>
      </c>
      <c r="CW97" s="872">
        <v>0</v>
      </c>
      <c r="CX97" s="872">
        <v>0</v>
      </c>
      <c r="CY97" s="874">
        <v>1</v>
      </c>
      <c r="CZ97" s="858"/>
      <c r="DA97" s="871"/>
      <c r="DB97" s="858">
        <v>0</v>
      </c>
      <c r="DC97" s="872">
        <v>0</v>
      </c>
      <c r="DD97" s="872">
        <v>0</v>
      </c>
      <c r="DE97" s="874">
        <v>1</v>
      </c>
      <c r="DF97" s="858"/>
      <c r="DG97" s="871"/>
      <c r="DH97" s="858">
        <v>0</v>
      </c>
      <c r="DI97" s="872">
        <v>0</v>
      </c>
      <c r="DJ97" s="872">
        <v>0</v>
      </c>
      <c r="DK97" s="874">
        <v>1</v>
      </c>
      <c r="DL97" s="858"/>
      <c r="DM97" s="871"/>
      <c r="DN97" s="858">
        <v>0</v>
      </c>
      <c r="DO97" s="872">
        <v>0</v>
      </c>
      <c r="DP97" s="872">
        <v>0</v>
      </c>
      <c r="DQ97" s="872">
        <v>0</v>
      </c>
    </row>
    <row r="98" s="861" customFormat="1" ht="14.25" customHeight="1" spans="1:121">
      <c r="A98" s="852">
        <v>96</v>
      </c>
      <c r="B98" s="853" t="s">
        <v>1402</v>
      </c>
      <c r="C98" s="853" t="s">
        <v>1403</v>
      </c>
      <c r="D98" s="873" t="s">
        <v>1169</v>
      </c>
      <c r="E98" s="869">
        <v>284.75</v>
      </c>
      <c r="F98" s="870">
        <v>0.11</v>
      </c>
      <c r="G98" s="872">
        <v>0</v>
      </c>
      <c r="H98" s="858" t="s">
        <v>1441</v>
      </c>
      <c r="I98" s="871">
        <v>0</v>
      </c>
      <c r="J98" s="858">
        <v>0</v>
      </c>
      <c r="K98" s="872">
        <v>0</v>
      </c>
      <c r="L98" s="872">
        <v>0</v>
      </c>
      <c r="M98" s="874">
        <v>0</v>
      </c>
      <c r="N98" s="858" t="s">
        <v>1441</v>
      </c>
      <c r="O98" s="871">
        <v>0</v>
      </c>
      <c r="P98" s="858">
        <v>0</v>
      </c>
      <c r="Q98" s="872">
        <v>0</v>
      </c>
      <c r="R98" s="872">
        <v>0</v>
      </c>
      <c r="S98" s="874">
        <v>0</v>
      </c>
      <c r="T98" s="858" t="s">
        <v>1441</v>
      </c>
      <c r="U98" s="871">
        <v>0</v>
      </c>
      <c r="V98" s="858">
        <v>0</v>
      </c>
      <c r="W98" s="872">
        <v>0</v>
      </c>
      <c r="X98" s="872">
        <v>0</v>
      </c>
      <c r="Y98" s="874">
        <v>0</v>
      </c>
      <c r="Z98" s="858" t="s">
        <v>1441</v>
      </c>
      <c r="AA98" s="871">
        <v>0</v>
      </c>
      <c r="AB98" s="858">
        <v>0</v>
      </c>
      <c r="AC98" s="872">
        <v>0</v>
      </c>
      <c r="AD98" s="872">
        <v>0</v>
      </c>
      <c r="AE98" s="874">
        <v>0</v>
      </c>
      <c r="AF98" s="858" t="s">
        <v>1441</v>
      </c>
      <c r="AG98" s="889">
        <v>0</v>
      </c>
      <c r="AH98" s="858">
        <v>0</v>
      </c>
      <c r="AI98" s="872">
        <v>0</v>
      </c>
      <c r="AJ98" s="872">
        <v>0</v>
      </c>
      <c r="AK98" s="874">
        <v>0</v>
      </c>
      <c r="AL98" s="858" t="s">
        <v>1441</v>
      </c>
      <c r="AM98" s="871">
        <v>0</v>
      </c>
      <c r="AN98" s="858">
        <v>0</v>
      </c>
      <c r="AO98" s="872">
        <v>0</v>
      </c>
      <c r="AP98" s="872">
        <v>0</v>
      </c>
      <c r="AQ98" s="874">
        <v>0</v>
      </c>
      <c r="AR98" s="858" t="s">
        <v>1441</v>
      </c>
      <c r="AS98" s="871">
        <v>0</v>
      </c>
      <c r="AT98" s="858">
        <v>0</v>
      </c>
      <c r="AU98" s="872">
        <v>0</v>
      </c>
      <c r="AV98" s="872">
        <v>0</v>
      </c>
      <c r="AW98" s="874">
        <v>0</v>
      </c>
      <c r="AX98" s="858" t="s">
        <v>1441</v>
      </c>
      <c r="AY98" s="871">
        <v>0</v>
      </c>
      <c r="AZ98" s="858">
        <v>0</v>
      </c>
      <c r="BA98" s="872">
        <v>0</v>
      </c>
      <c r="BB98" s="872">
        <v>0</v>
      </c>
      <c r="BC98" s="874">
        <v>0</v>
      </c>
      <c r="BD98" s="858" t="s">
        <v>1441</v>
      </c>
      <c r="BE98" s="871">
        <v>0.8</v>
      </c>
      <c r="BF98" s="858">
        <v>227.8</v>
      </c>
      <c r="BG98" s="872">
        <v>205.225225225225</v>
      </c>
      <c r="BH98" s="872">
        <v>22.5747747747748</v>
      </c>
      <c r="BI98" s="874">
        <v>0.8</v>
      </c>
      <c r="BJ98" s="858" t="s">
        <v>1442</v>
      </c>
      <c r="BK98" s="871">
        <v>0.2</v>
      </c>
      <c r="BL98" s="858">
        <v>56.95</v>
      </c>
      <c r="BM98" s="872">
        <v>51.3063063063063</v>
      </c>
      <c r="BN98" s="872">
        <v>5.6436936936937</v>
      </c>
      <c r="BO98" s="874">
        <v>1</v>
      </c>
      <c r="BP98" s="858"/>
      <c r="BQ98" s="871">
        <v>0</v>
      </c>
      <c r="BR98" s="858">
        <v>0</v>
      </c>
      <c r="BS98" s="872">
        <v>0</v>
      </c>
      <c r="BT98" s="872">
        <v>0</v>
      </c>
      <c r="BU98" s="874">
        <v>1</v>
      </c>
      <c r="BV98" s="858"/>
      <c r="BW98" s="871">
        <v>0</v>
      </c>
      <c r="BX98" s="858">
        <v>0</v>
      </c>
      <c r="BY98" s="872">
        <v>0</v>
      </c>
      <c r="BZ98" s="872">
        <v>0</v>
      </c>
      <c r="CA98" s="874">
        <v>1</v>
      </c>
      <c r="CB98" s="858"/>
      <c r="CC98" s="871">
        <v>0</v>
      </c>
      <c r="CD98" s="858">
        <v>0</v>
      </c>
      <c r="CE98" s="872">
        <v>0</v>
      </c>
      <c r="CF98" s="872">
        <v>0</v>
      </c>
      <c r="CG98" s="874">
        <v>1</v>
      </c>
      <c r="CH98" s="858"/>
      <c r="CI98" s="871"/>
      <c r="CJ98" s="858">
        <v>0</v>
      </c>
      <c r="CK98" s="872">
        <v>0</v>
      </c>
      <c r="CL98" s="872">
        <v>0</v>
      </c>
      <c r="CM98" s="874">
        <v>1</v>
      </c>
      <c r="CN98" s="858"/>
      <c r="CO98" s="871"/>
      <c r="CP98" s="858">
        <v>0</v>
      </c>
      <c r="CQ98" s="872">
        <v>0</v>
      </c>
      <c r="CR98" s="872">
        <v>0</v>
      </c>
      <c r="CS98" s="874">
        <v>1</v>
      </c>
      <c r="CT98" s="858"/>
      <c r="CU98" s="871"/>
      <c r="CV98" s="858">
        <v>0</v>
      </c>
      <c r="CW98" s="872">
        <v>0</v>
      </c>
      <c r="CX98" s="872">
        <v>0</v>
      </c>
      <c r="CY98" s="874">
        <v>1</v>
      </c>
      <c r="CZ98" s="858"/>
      <c r="DA98" s="871"/>
      <c r="DB98" s="858">
        <v>0</v>
      </c>
      <c r="DC98" s="872">
        <v>0</v>
      </c>
      <c r="DD98" s="872">
        <v>0</v>
      </c>
      <c r="DE98" s="874">
        <v>1</v>
      </c>
      <c r="DF98" s="858"/>
      <c r="DG98" s="871"/>
      <c r="DH98" s="858">
        <v>0</v>
      </c>
      <c r="DI98" s="872">
        <v>0</v>
      </c>
      <c r="DJ98" s="872">
        <v>0</v>
      </c>
      <c r="DK98" s="874">
        <v>1</v>
      </c>
      <c r="DL98" s="858"/>
      <c r="DM98" s="871"/>
      <c r="DN98" s="858">
        <v>0</v>
      </c>
      <c r="DO98" s="872">
        <v>0</v>
      </c>
      <c r="DP98" s="872">
        <v>0</v>
      </c>
      <c r="DQ98" s="872">
        <v>0</v>
      </c>
    </row>
    <row r="99" s="861" customFormat="1" ht="14.25" customHeight="1" spans="1:121">
      <c r="A99" s="852">
        <v>97</v>
      </c>
      <c r="B99" s="853" t="s">
        <v>1402</v>
      </c>
      <c r="C99" s="853" t="s">
        <v>1403</v>
      </c>
      <c r="D99" s="873" t="s">
        <v>1185</v>
      </c>
      <c r="E99" s="869">
        <v>0</v>
      </c>
      <c r="F99" s="870">
        <v>0.11</v>
      </c>
      <c r="G99" s="872">
        <v>0</v>
      </c>
      <c r="H99" s="858" t="s">
        <v>1441</v>
      </c>
      <c r="I99" s="871">
        <v>0</v>
      </c>
      <c r="J99" s="858">
        <v>0</v>
      </c>
      <c r="K99" s="872">
        <v>0</v>
      </c>
      <c r="L99" s="872">
        <v>0</v>
      </c>
      <c r="M99" s="874">
        <v>0</v>
      </c>
      <c r="N99" s="858" t="s">
        <v>1441</v>
      </c>
      <c r="O99" s="871">
        <v>0</v>
      </c>
      <c r="P99" s="858">
        <v>0</v>
      </c>
      <c r="Q99" s="872">
        <v>0</v>
      </c>
      <c r="R99" s="872">
        <v>0</v>
      </c>
      <c r="S99" s="874">
        <v>0</v>
      </c>
      <c r="T99" s="858" t="s">
        <v>1441</v>
      </c>
      <c r="U99" s="871">
        <v>0</v>
      </c>
      <c r="V99" s="858">
        <v>0</v>
      </c>
      <c r="W99" s="872">
        <v>0</v>
      </c>
      <c r="X99" s="872">
        <v>0</v>
      </c>
      <c r="Y99" s="874">
        <v>0</v>
      </c>
      <c r="Z99" s="858" t="s">
        <v>1441</v>
      </c>
      <c r="AA99" s="871">
        <v>0</v>
      </c>
      <c r="AB99" s="858">
        <v>0</v>
      </c>
      <c r="AC99" s="872">
        <v>0</v>
      </c>
      <c r="AD99" s="872">
        <v>0</v>
      </c>
      <c r="AE99" s="874">
        <v>0</v>
      </c>
      <c r="AF99" s="858" t="s">
        <v>1441</v>
      </c>
      <c r="AG99" s="889">
        <v>0</v>
      </c>
      <c r="AH99" s="858">
        <v>0</v>
      </c>
      <c r="AI99" s="872">
        <v>0</v>
      </c>
      <c r="AJ99" s="872">
        <v>0</v>
      </c>
      <c r="AK99" s="874">
        <v>0</v>
      </c>
      <c r="AL99" s="858" t="s">
        <v>1441</v>
      </c>
      <c r="AM99" s="871">
        <v>0</v>
      </c>
      <c r="AN99" s="858">
        <v>0</v>
      </c>
      <c r="AO99" s="872">
        <v>0</v>
      </c>
      <c r="AP99" s="872">
        <v>0</v>
      </c>
      <c r="AQ99" s="874">
        <v>0</v>
      </c>
      <c r="AR99" s="858" t="s">
        <v>1441</v>
      </c>
      <c r="AS99" s="871">
        <v>0</v>
      </c>
      <c r="AT99" s="858">
        <v>0</v>
      </c>
      <c r="AU99" s="872">
        <v>0</v>
      </c>
      <c r="AV99" s="872">
        <v>0</v>
      </c>
      <c r="AW99" s="874">
        <v>0</v>
      </c>
      <c r="AX99" s="858" t="s">
        <v>1441</v>
      </c>
      <c r="AY99" s="871">
        <v>0</v>
      </c>
      <c r="AZ99" s="858">
        <v>0</v>
      </c>
      <c r="BA99" s="872">
        <v>0</v>
      </c>
      <c r="BB99" s="872">
        <v>0</v>
      </c>
      <c r="BC99" s="874">
        <v>0</v>
      </c>
      <c r="BD99" s="858" t="s">
        <v>1441</v>
      </c>
      <c r="BE99" s="871">
        <v>0.8</v>
      </c>
      <c r="BF99" s="858">
        <v>0</v>
      </c>
      <c r="BG99" s="872">
        <v>0</v>
      </c>
      <c r="BH99" s="872">
        <v>0</v>
      </c>
      <c r="BI99" s="874">
        <v>0.8</v>
      </c>
      <c r="BJ99" s="858" t="s">
        <v>1442</v>
      </c>
      <c r="BK99" s="871">
        <v>0.2</v>
      </c>
      <c r="BL99" s="858">
        <v>0</v>
      </c>
      <c r="BM99" s="872">
        <v>0</v>
      </c>
      <c r="BN99" s="872">
        <v>0</v>
      </c>
      <c r="BO99" s="874">
        <v>1</v>
      </c>
      <c r="BP99" s="858"/>
      <c r="BQ99" s="871">
        <v>0</v>
      </c>
      <c r="BR99" s="858">
        <v>0</v>
      </c>
      <c r="BS99" s="872">
        <v>0</v>
      </c>
      <c r="BT99" s="872">
        <v>0</v>
      </c>
      <c r="BU99" s="874">
        <v>1</v>
      </c>
      <c r="BV99" s="858"/>
      <c r="BW99" s="871">
        <v>0</v>
      </c>
      <c r="BX99" s="858">
        <v>0</v>
      </c>
      <c r="BY99" s="872">
        <v>0</v>
      </c>
      <c r="BZ99" s="872">
        <v>0</v>
      </c>
      <c r="CA99" s="874">
        <v>1</v>
      </c>
      <c r="CB99" s="858"/>
      <c r="CC99" s="871">
        <v>0</v>
      </c>
      <c r="CD99" s="858">
        <v>0</v>
      </c>
      <c r="CE99" s="872">
        <v>0</v>
      </c>
      <c r="CF99" s="872">
        <v>0</v>
      </c>
      <c r="CG99" s="874">
        <v>1</v>
      </c>
      <c r="CH99" s="858"/>
      <c r="CI99" s="871"/>
      <c r="CJ99" s="858">
        <v>0</v>
      </c>
      <c r="CK99" s="872">
        <v>0</v>
      </c>
      <c r="CL99" s="872">
        <v>0</v>
      </c>
      <c r="CM99" s="874">
        <v>1</v>
      </c>
      <c r="CN99" s="858"/>
      <c r="CO99" s="871"/>
      <c r="CP99" s="858">
        <v>0</v>
      </c>
      <c r="CQ99" s="872">
        <v>0</v>
      </c>
      <c r="CR99" s="872">
        <v>0</v>
      </c>
      <c r="CS99" s="874">
        <v>1</v>
      </c>
      <c r="CT99" s="858"/>
      <c r="CU99" s="871"/>
      <c r="CV99" s="858">
        <v>0</v>
      </c>
      <c r="CW99" s="872">
        <v>0</v>
      </c>
      <c r="CX99" s="872">
        <v>0</v>
      </c>
      <c r="CY99" s="874">
        <v>1</v>
      </c>
      <c r="CZ99" s="858"/>
      <c r="DA99" s="871"/>
      <c r="DB99" s="858">
        <v>0</v>
      </c>
      <c r="DC99" s="872">
        <v>0</v>
      </c>
      <c r="DD99" s="872">
        <v>0</v>
      </c>
      <c r="DE99" s="874">
        <v>1</v>
      </c>
      <c r="DF99" s="858"/>
      <c r="DG99" s="871"/>
      <c r="DH99" s="858">
        <v>0</v>
      </c>
      <c r="DI99" s="872">
        <v>0</v>
      </c>
      <c r="DJ99" s="872">
        <v>0</v>
      </c>
      <c r="DK99" s="874">
        <v>1</v>
      </c>
      <c r="DL99" s="858"/>
      <c r="DM99" s="871"/>
      <c r="DN99" s="858">
        <v>0</v>
      </c>
      <c r="DO99" s="872">
        <v>0</v>
      </c>
      <c r="DP99" s="872">
        <v>0</v>
      </c>
      <c r="DQ99" s="872">
        <v>0</v>
      </c>
    </row>
    <row r="100" s="861" customFormat="1" ht="14.25" customHeight="1" spans="1:121">
      <c r="A100" s="852">
        <v>98</v>
      </c>
      <c r="B100" s="853" t="s">
        <v>1402</v>
      </c>
      <c r="C100" s="853" t="s">
        <v>1403</v>
      </c>
      <c r="D100" s="873" t="s">
        <v>1192</v>
      </c>
      <c r="E100" s="869">
        <v>0</v>
      </c>
      <c r="F100" s="870">
        <v>0.11</v>
      </c>
      <c r="G100" s="872">
        <v>0</v>
      </c>
      <c r="H100" s="858" t="s">
        <v>1441</v>
      </c>
      <c r="I100" s="871">
        <v>0</v>
      </c>
      <c r="J100" s="858">
        <v>0</v>
      </c>
      <c r="K100" s="872">
        <v>0</v>
      </c>
      <c r="L100" s="872">
        <v>0</v>
      </c>
      <c r="M100" s="874">
        <v>0</v>
      </c>
      <c r="N100" s="858" t="s">
        <v>1441</v>
      </c>
      <c r="O100" s="871">
        <v>0</v>
      </c>
      <c r="P100" s="858">
        <v>0</v>
      </c>
      <c r="Q100" s="872">
        <v>0</v>
      </c>
      <c r="R100" s="872">
        <v>0</v>
      </c>
      <c r="S100" s="874">
        <v>0</v>
      </c>
      <c r="T100" s="858" t="s">
        <v>1441</v>
      </c>
      <c r="U100" s="871">
        <v>0</v>
      </c>
      <c r="V100" s="858">
        <v>0</v>
      </c>
      <c r="W100" s="872">
        <v>0</v>
      </c>
      <c r="X100" s="872">
        <v>0</v>
      </c>
      <c r="Y100" s="874">
        <v>0</v>
      </c>
      <c r="Z100" s="858" t="s">
        <v>1441</v>
      </c>
      <c r="AA100" s="871">
        <v>0</v>
      </c>
      <c r="AB100" s="858">
        <v>0</v>
      </c>
      <c r="AC100" s="872">
        <v>0</v>
      </c>
      <c r="AD100" s="872">
        <v>0</v>
      </c>
      <c r="AE100" s="874">
        <v>0</v>
      </c>
      <c r="AF100" s="858" t="s">
        <v>1441</v>
      </c>
      <c r="AG100" s="889">
        <v>0</v>
      </c>
      <c r="AH100" s="858">
        <v>0</v>
      </c>
      <c r="AI100" s="872">
        <v>0</v>
      </c>
      <c r="AJ100" s="872">
        <v>0</v>
      </c>
      <c r="AK100" s="874">
        <v>0</v>
      </c>
      <c r="AL100" s="858" t="s">
        <v>1441</v>
      </c>
      <c r="AM100" s="871">
        <v>0</v>
      </c>
      <c r="AN100" s="858">
        <v>0</v>
      </c>
      <c r="AO100" s="872">
        <v>0</v>
      </c>
      <c r="AP100" s="872">
        <v>0</v>
      </c>
      <c r="AQ100" s="874">
        <v>0</v>
      </c>
      <c r="AR100" s="858" t="s">
        <v>1441</v>
      </c>
      <c r="AS100" s="871">
        <v>0</v>
      </c>
      <c r="AT100" s="858">
        <v>0</v>
      </c>
      <c r="AU100" s="872">
        <v>0</v>
      </c>
      <c r="AV100" s="872">
        <v>0</v>
      </c>
      <c r="AW100" s="874">
        <v>0</v>
      </c>
      <c r="AX100" s="858" t="s">
        <v>1441</v>
      </c>
      <c r="AY100" s="871">
        <v>0</v>
      </c>
      <c r="AZ100" s="858">
        <v>0</v>
      </c>
      <c r="BA100" s="872">
        <v>0</v>
      </c>
      <c r="BB100" s="872">
        <v>0</v>
      </c>
      <c r="BC100" s="874">
        <v>0</v>
      </c>
      <c r="BD100" s="858" t="s">
        <v>1441</v>
      </c>
      <c r="BE100" s="871">
        <v>0.1</v>
      </c>
      <c r="BF100" s="858">
        <v>0</v>
      </c>
      <c r="BG100" s="872">
        <v>0</v>
      </c>
      <c r="BH100" s="872">
        <v>0</v>
      </c>
      <c r="BI100" s="874">
        <v>0.1</v>
      </c>
      <c r="BJ100" s="858" t="s">
        <v>1441</v>
      </c>
      <c r="BK100" s="871">
        <v>0.1</v>
      </c>
      <c r="BL100" s="858">
        <v>0</v>
      </c>
      <c r="BM100" s="872">
        <v>0</v>
      </c>
      <c r="BN100" s="872">
        <v>0</v>
      </c>
      <c r="BO100" s="874">
        <v>0.2</v>
      </c>
      <c r="BP100" s="858" t="s">
        <v>1441</v>
      </c>
      <c r="BQ100" s="871">
        <v>0.1</v>
      </c>
      <c r="BR100" s="858">
        <v>0</v>
      </c>
      <c r="BS100" s="872">
        <v>0</v>
      </c>
      <c r="BT100" s="872">
        <v>0</v>
      </c>
      <c r="BU100" s="874">
        <v>0.3</v>
      </c>
      <c r="BV100" s="858" t="s">
        <v>1441</v>
      </c>
      <c r="BW100" s="871">
        <v>0.1</v>
      </c>
      <c r="BX100" s="858">
        <v>0</v>
      </c>
      <c r="BY100" s="872">
        <v>0</v>
      </c>
      <c r="BZ100" s="872">
        <v>0</v>
      </c>
      <c r="CA100" s="874">
        <v>0.4</v>
      </c>
      <c r="CB100" s="858" t="s">
        <v>1441</v>
      </c>
      <c r="CC100" s="871">
        <v>0.1</v>
      </c>
      <c r="CD100" s="858">
        <v>0</v>
      </c>
      <c r="CE100" s="872">
        <v>0</v>
      </c>
      <c r="CF100" s="872">
        <v>0</v>
      </c>
      <c r="CG100" s="874">
        <v>0.5</v>
      </c>
      <c r="CH100" s="858" t="s">
        <v>1441</v>
      </c>
      <c r="CI100" s="871">
        <v>0.1</v>
      </c>
      <c r="CJ100" s="858">
        <v>0</v>
      </c>
      <c r="CK100" s="872">
        <v>0</v>
      </c>
      <c r="CL100" s="872">
        <v>0</v>
      </c>
      <c r="CM100" s="874">
        <v>0.6</v>
      </c>
      <c r="CN100" s="858" t="s">
        <v>1441</v>
      </c>
      <c r="CO100" s="871">
        <v>0.1</v>
      </c>
      <c r="CP100" s="858">
        <v>0</v>
      </c>
      <c r="CQ100" s="872">
        <v>0</v>
      </c>
      <c r="CR100" s="872">
        <v>0</v>
      </c>
      <c r="CS100" s="874">
        <v>0.7</v>
      </c>
      <c r="CT100" s="858" t="s">
        <v>1441</v>
      </c>
      <c r="CU100" s="871">
        <v>0.05</v>
      </c>
      <c r="CV100" s="858">
        <v>0</v>
      </c>
      <c r="CW100" s="872">
        <v>0</v>
      </c>
      <c r="CX100" s="872">
        <v>0</v>
      </c>
      <c r="CY100" s="874">
        <v>0.75</v>
      </c>
      <c r="CZ100" s="858"/>
      <c r="DA100" s="871"/>
      <c r="DB100" s="858">
        <v>0</v>
      </c>
      <c r="DC100" s="872">
        <v>0</v>
      </c>
      <c r="DD100" s="872">
        <v>0</v>
      </c>
      <c r="DE100" s="874">
        <v>0.75</v>
      </c>
      <c r="DF100" s="858" t="s">
        <v>1442</v>
      </c>
      <c r="DG100" s="871">
        <v>0.2</v>
      </c>
      <c r="DH100" s="858">
        <v>0</v>
      </c>
      <c r="DI100" s="872">
        <v>0</v>
      </c>
      <c r="DJ100" s="872">
        <v>0</v>
      </c>
      <c r="DK100" s="874">
        <v>0.95</v>
      </c>
      <c r="DL100" s="858" t="s">
        <v>1443</v>
      </c>
      <c r="DM100" s="871">
        <v>0.05</v>
      </c>
      <c r="DN100" s="858">
        <v>0</v>
      </c>
      <c r="DO100" s="872">
        <v>0</v>
      </c>
      <c r="DP100" s="872">
        <v>0</v>
      </c>
      <c r="DQ100" s="872">
        <v>0</v>
      </c>
    </row>
    <row r="101" s="861" customFormat="1" ht="14.25" customHeight="1" spans="1:121">
      <c r="A101" s="852">
        <v>99</v>
      </c>
      <c r="B101" s="853" t="s">
        <v>546</v>
      </c>
      <c r="C101" s="853" t="s">
        <v>1401</v>
      </c>
      <c r="D101" s="873" t="s">
        <v>1197</v>
      </c>
      <c r="E101" s="869">
        <v>550.921947012244</v>
      </c>
      <c r="F101" s="879">
        <v>0.06</v>
      </c>
      <c r="G101" s="872">
        <v>0</v>
      </c>
      <c r="H101" s="858" t="s">
        <v>1441</v>
      </c>
      <c r="I101" s="871">
        <v>0</v>
      </c>
      <c r="J101" s="858">
        <v>0</v>
      </c>
      <c r="K101" s="872">
        <v>0</v>
      </c>
      <c r="L101" s="872">
        <v>0</v>
      </c>
      <c r="M101" s="874">
        <v>0</v>
      </c>
      <c r="N101" s="858" t="s">
        <v>1441</v>
      </c>
      <c r="O101" s="871">
        <v>0.03</v>
      </c>
      <c r="P101" s="858">
        <v>16.5276584103673</v>
      </c>
      <c r="Q101" s="872">
        <v>15.5921305758182</v>
      </c>
      <c r="R101" s="872">
        <v>0.935527834549093</v>
      </c>
      <c r="S101" s="874">
        <v>0.03</v>
      </c>
      <c r="T101" s="858" t="s">
        <v>1441</v>
      </c>
      <c r="U101" s="871">
        <v>0.02</v>
      </c>
      <c r="V101" s="858">
        <v>11.0184389402449</v>
      </c>
      <c r="W101" s="872">
        <v>10.3947537172121</v>
      </c>
      <c r="X101" s="872">
        <v>0.62368522303273</v>
      </c>
      <c r="Y101" s="874">
        <v>0.05</v>
      </c>
      <c r="Z101" s="858" t="s">
        <v>1441</v>
      </c>
      <c r="AA101" s="871">
        <v>0.05</v>
      </c>
      <c r="AB101" s="858">
        <v>27.5460973506122</v>
      </c>
      <c r="AC101" s="872">
        <v>25.9868842930304</v>
      </c>
      <c r="AD101" s="872">
        <v>1.55921305758182</v>
      </c>
      <c r="AE101" s="874">
        <v>0.1</v>
      </c>
      <c r="AF101" s="858" t="s">
        <v>1441</v>
      </c>
      <c r="AG101" s="890">
        <v>0.05</v>
      </c>
      <c r="AH101" s="858">
        <v>27.5460973506122</v>
      </c>
      <c r="AI101" s="872">
        <v>25.9868842930304</v>
      </c>
      <c r="AJ101" s="872">
        <v>1.55921305758182</v>
      </c>
      <c r="AK101" s="874">
        <v>0.15</v>
      </c>
      <c r="AL101" s="858" t="s">
        <v>1441</v>
      </c>
      <c r="AM101" s="871">
        <v>0.05</v>
      </c>
      <c r="AN101" s="858">
        <v>27.5460973506122</v>
      </c>
      <c r="AO101" s="872">
        <v>25.9868842930304</v>
      </c>
      <c r="AP101" s="872">
        <v>1.55921305758182</v>
      </c>
      <c r="AQ101" s="874">
        <v>0.2</v>
      </c>
      <c r="AR101" s="858" t="s">
        <v>1441</v>
      </c>
      <c r="AS101" s="871">
        <v>0.05</v>
      </c>
      <c r="AT101" s="858">
        <v>27.5460973506122</v>
      </c>
      <c r="AU101" s="872">
        <v>25.9868842930304</v>
      </c>
      <c r="AV101" s="872">
        <v>1.55921305758182</v>
      </c>
      <c r="AW101" s="874">
        <v>0.25</v>
      </c>
      <c r="AX101" s="858" t="s">
        <v>1441</v>
      </c>
      <c r="AY101" s="871">
        <v>0.05</v>
      </c>
      <c r="AZ101" s="858">
        <v>27.5460973506122</v>
      </c>
      <c r="BA101" s="872">
        <v>25.9868842930304</v>
      </c>
      <c r="BB101" s="872">
        <v>1.55921305758182</v>
      </c>
      <c r="BC101" s="874">
        <v>0.3</v>
      </c>
      <c r="BD101" s="858" t="s">
        <v>1441</v>
      </c>
      <c r="BE101" s="871">
        <v>0.05</v>
      </c>
      <c r="BF101" s="858">
        <v>27.5460973506122</v>
      </c>
      <c r="BG101" s="872">
        <v>25.9868842930304</v>
      </c>
      <c r="BH101" s="872">
        <v>1.55921305758182</v>
      </c>
      <c r="BI101" s="874">
        <v>0.35</v>
      </c>
      <c r="BJ101" s="858" t="s">
        <v>1441</v>
      </c>
      <c r="BK101" s="871">
        <v>0.1</v>
      </c>
      <c r="BL101" s="858">
        <v>55.0921947012244</v>
      </c>
      <c r="BM101" s="872">
        <v>51.9737685860607</v>
      </c>
      <c r="BN101" s="872">
        <v>3.11842611516364</v>
      </c>
      <c r="BO101" s="874">
        <v>0.45</v>
      </c>
      <c r="BP101" s="858" t="s">
        <v>1441</v>
      </c>
      <c r="BQ101" s="871">
        <v>0.05</v>
      </c>
      <c r="BR101" s="858">
        <v>27.5460973506122</v>
      </c>
      <c r="BS101" s="872">
        <v>25.9868842930304</v>
      </c>
      <c r="BT101" s="872">
        <v>1.55921305758182</v>
      </c>
      <c r="BU101" s="874">
        <v>0.5</v>
      </c>
      <c r="BV101" s="858" t="s">
        <v>1441</v>
      </c>
      <c r="BW101" s="871">
        <v>0</v>
      </c>
      <c r="BX101" s="858">
        <v>0</v>
      </c>
      <c r="BY101" s="872">
        <v>0</v>
      </c>
      <c r="BZ101" s="872">
        <v>0</v>
      </c>
      <c r="CA101" s="874">
        <v>0.5</v>
      </c>
      <c r="CB101" s="858" t="s">
        <v>1441</v>
      </c>
      <c r="CC101" s="871">
        <v>0.05</v>
      </c>
      <c r="CD101" s="858">
        <v>27.5460973506122</v>
      </c>
      <c r="CE101" s="872">
        <v>25.9868842930304</v>
      </c>
      <c r="CF101" s="872">
        <v>1.55921305758182</v>
      </c>
      <c r="CG101" s="874">
        <v>0.55</v>
      </c>
      <c r="CH101" s="858" t="s">
        <v>1441</v>
      </c>
      <c r="CI101" s="871">
        <v>0.05</v>
      </c>
      <c r="CJ101" s="858">
        <v>27.5460973506122</v>
      </c>
      <c r="CK101" s="872">
        <v>25.9868842930304</v>
      </c>
      <c r="CL101" s="872">
        <v>1.55921305758182</v>
      </c>
      <c r="CM101" s="874">
        <v>0.6</v>
      </c>
      <c r="CN101" s="858" t="s">
        <v>1441</v>
      </c>
      <c r="CO101" s="871">
        <v>0.05</v>
      </c>
      <c r="CP101" s="858">
        <v>27.5460973506122</v>
      </c>
      <c r="CQ101" s="872">
        <v>25.9868842930304</v>
      </c>
      <c r="CR101" s="872">
        <v>1.55921305758182</v>
      </c>
      <c r="CS101" s="874">
        <v>0.65</v>
      </c>
      <c r="CT101" s="858" t="s">
        <v>1441</v>
      </c>
      <c r="CU101" s="871">
        <v>0.05</v>
      </c>
      <c r="CV101" s="858">
        <v>27.5460973506122</v>
      </c>
      <c r="CW101" s="872">
        <v>25.9868842930304</v>
      </c>
      <c r="CX101" s="872">
        <v>1.55921305758182</v>
      </c>
      <c r="CY101" s="874">
        <v>0.7</v>
      </c>
      <c r="CZ101" s="858" t="s">
        <v>1441</v>
      </c>
      <c r="DA101" s="871">
        <v>0</v>
      </c>
      <c r="DB101" s="858">
        <v>0</v>
      </c>
      <c r="DC101" s="872">
        <v>0</v>
      </c>
      <c r="DD101" s="872">
        <v>0</v>
      </c>
      <c r="DE101" s="874">
        <v>0.7</v>
      </c>
      <c r="DF101" s="858" t="s">
        <v>1442</v>
      </c>
      <c r="DG101" s="871">
        <v>0.25</v>
      </c>
      <c r="DH101" s="858">
        <v>137.730486753061</v>
      </c>
      <c r="DI101" s="872">
        <v>129.934421465152</v>
      </c>
      <c r="DJ101" s="872">
        <v>7.79606528790913</v>
      </c>
      <c r="DK101" s="874">
        <v>0.95</v>
      </c>
      <c r="DL101" s="858" t="s">
        <v>1443</v>
      </c>
      <c r="DM101" s="871">
        <v>0.05</v>
      </c>
      <c r="DN101" s="858">
        <v>27.5460973506122</v>
      </c>
      <c r="DO101" s="872">
        <v>25.9868842930304</v>
      </c>
      <c r="DP101" s="872">
        <v>1.55921305758182</v>
      </c>
      <c r="DQ101" s="872">
        <v>0</v>
      </c>
    </row>
    <row r="102" s="861" customFormat="1" ht="14.25" customHeight="1" spans="1:121">
      <c r="A102" s="852">
        <v>100</v>
      </c>
      <c r="B102" s="853" t="s">
        <v>546</v>
      </c>
      <c r="C102" s="853" t="s">
        <v>1401</v>
      </c>
      <c r="D102" s="873" t="s">
        <v>1204</v>
      </c>
      <c r="E102" s="869">
        <v>318.954811428141</v>
      </c>
      <c r="F102" s="870">
        <v>0.06</v>
      </c>
      <c r="G102" s="872">
        <v>0</v>
      </c>
      <c r="H102" s="858" t="s">
        <v>1441</v>
      </c>
      <c r="I102" s="871">
        <v>0</v>
      </c>
      <c r="J102" s="858">
        <v>0</v>
      </c>
      <c r="K102" s="872">
        <v>0</v>
      </c>
      <c r="L102" s="872">
        <v>0</v>
      </c>
      <c r="M102" s="874">
        <v>0</v>
      </c>
      <c r="N102" s="858" t="s">
        <v>1441</v>
      </c>
      <c r="O102" s="871">
        <v>0</v>
      </c>
      <c r="P102" s="858">
        <v>0</v>
      </c>
      <c r="Q102" s="872">
        <v>0</v>
      </c>
      <c r="R102" s="872">
        <v>0</v>
      </c>
      <c r="S102" s="874">
        <v>0</v>
      </c>
      <c r="T102" s="858" t="s">
        <v>1441</v>
      </c>
      <c r="U102" s="871">
        <v>0</v>
      </c>
      <c r="V102" s="858">
        <v>0</v>
      </c>
      <c r="W102" s="872">
        <v>0</v>
      </c>
      <c r="X102" s="872">
        <v>0</v>
      </c>
      <c r="Y102" s="874">
        <v>0</v>
      </c>
      <c r="Z102" s="858" t="s">
        <v>1441</v>
      </c>
      <c r="AA102" s="871">
        <v>0</v>
      </c>
      <c r="AB102" s="858">
        <v>0</v>
      </c>
      <c r="AC102" s="872">
        <v>0</v>
      </c>
      <c r="AD102" s="872">
        <v>0</v>
      </c>
      <c r="AE102" s="874">
        <v>0</v>
      </c>
      <c r="AF102" s="858" t="s">
        <v>1441</v>
      </c>
      <c r="AG102" s="889">
        <v>0</v>
      </c>
      <c r="AH102" s="858">
        <v>0</v>
      </c>
      <c r="AI102" s="872">
        <v>0</v>
      </c>
      <c r="AJ102" s="872">
        <v>0</v>
      </c>
      <c r="AK102" s="874">
        <v>0</v>
      </c>
      <c r="AL102" s="858" t="s">
        <v>1441</v>
      </c>
      <c r="AM102" s="871">
        <v>0</v>
      </c>
      <c r="AN102" s="858">
        <v>0</v>
      </c>
      <c r="AO102" s="872">
        <v>0</v>
      </c>
      <c r="AP102" s="872">
        <v>0</v>
      </c>
      <c r="AQ102" s="874">
        <v>0</v>
      </c>
      <c r="AR102" s="858" t="s">
        <v>1441</v>
      </c>
      <c r="AS102" s="871">
        <v>0</v>
      </c>
      <c r="AT102" s="858">
        <v>0</v>
      </c>
      <c r="AU102" s="872">
        <v>0</v>
      </c>
      <c r="AV102" s="872">
        <v>0</v>
      </c>
      <c r="AW102" s="874">
        <v>0</v>
      </c>
      <c r="AX102" s="858" t="s">
        <v>1441</v>
      </c>
      <c r="AY102" s="871">
        <v>0</v>
      </c>
      <c r="AZ102" s="858">
        <v>0</v>
      </c>
      <c r="BA102" s="872">
        <v>0</v>
      </c>
      <c r="BB102" s="872">
        <v>0</v>
      </c>
      <c r="BC102" s="874">
        <v>0</v>
      </c>
      <c r="BD102" s="858" t="s">
        <v>1441</v>
      </c>
      <c r="BE102" s="871">
        <v>0</v>
      </c>
      <c r="BF102" s="858">
        <v>0</v>
      </c>
      <c r="BG102" s="872">
        <v>0</v>
      </c>
      <c r="BH102" s="872">
        <v>0</v>
      </c>
      <c r="BI102" s="874">
        <v>0</v>
      </c>
      <c r="BJ102" s="858" t="s">
        <v>1441</v>
      </c>
      <c r="BK102" s="871">
        <v>0</v>
      </c>
      <c r="BL102" s="858">
        <v>0</v>
      </c>
      <c r="BM102" s="872">
        <v>0</v>
      </c>
      <c r="BN102" s="872">
        <v>0</v>
      </c>
      <c r="BO102" s="874">
        <v>0</v>
      </c>
      <c r="BP102" s="858" t="s">
        <v>1441</v>
      </c>
      <c r="BQ102" s="871">
        <v>0</v>
      </c>
      <c r="BR102" s="858">
        <v>0</v>
      </c>
      <c r="BS102" s="872">
        <v>0</v>
      </c>
      <c r="BT102" s="872">
        <v>0</v>
      </c>
      <c r="BU102" s="874">
        <v>0</v>
      </c>
      <c r="BV102" s="858" t="s">
        <v>1441</v>
      </c>
      <c r="BW102" s="871">
        <v>0</v>
      </c>
      <c r="BX102" s="858">
        <v>0</v>
      </c>
      <c r="BY102" s="872">
        <v>0</v>
      </c>
      <c r="BZ102" s="872">
        <v>0</v>
      </c>
      <c r="CA102" s="874">
        <v>0</v>
      </c>
      <c r="CB102" s="858" t="s">
        <v>1441</v>
      </c>
      <c r="CC102" s="871">
        <v>0</v>
      </c>
      <c r="CD102" s="858">
        <v>0</v>
      </c>
      <c r="CE102" s="872">
        <v>0</v>
      </c>
      <c r="CF102" s="872">
        <v>0</v>
      </c>
      <c r="CG102" s="874">
        <v>0</v>
      </c>
      <c r="CH102" s="858" t="s">
        <v>1441</v>
      </c>
      <c r="CI102" s="871">
        <v>0</v>
      </c>
      <c r="CJ102" s="858">
        <v>0</v>
      </c>
      <c r="CK102" s="872">
        <v>0</v>
      </c>
      <c r="CL102" s="872">
        <v>0</v>
      </c>
      <c r="CM102" s="874">
        <v>0</v>
      </c>
      <c r="CN102" s="858" t="s">
        <v>1441</v>
      </c>
      <c r="CO102" s="871">
        <v>0</v>
      </c>
      <c r="CP102" s="858">
        <v>0</v>
      </c>
      <c r="CQ102" s="872">
        <v>0</v>
      </c>
      <c r="CR102" s="872">
        <v>0</v>
      </c>
      <c r="CS102" s="874">
        <v>0</v>
      </c>
      <c r="CT102" s="858" t="s">
        <v>1441</v>
      </c>
      <c r="CU102" s="871">
        <v>0</v>
      </c>
      <c r="CV102" s="858">
        <v>0</v>
      </c>
      <c r="CW102" s="872">
        <v>0</v>
      </c>
      <c r="CX102" s="872">
        <v>0</v>
      </c>
      <c r="CY102" s="874">
        <v>0</v>
      </c>
      <c r="CZ102" s="858" t="s">
        <v>1441</v>
      </c>
      <c r="DA102" s="871">
        <v>0.8</v>
      </c>
      <c r="DB102" s="858">
        <v>255.163849142513</v>
      </c>
      <c r="DC102" s="872">
        <v>240.720612398597</v>
      </c>
      <c r="DD102" s="872">
        <v>14.4432367439158</v>
      </c>
      <c r="DE102" s="874">
        <v>0.8</v>
      </c>
      <c r="DF102" s="858" t="s">
        <v>1442</v>
      </c>
      <c r="DG102" s="871">
        <v>0.2</v>
      </c>
      <c r="DH102" s="858">
        <v>63.7909622856282</v>
      </c>
      <c r="DI102" s="872">
        <v>60.1801530996493</v>
      </c>
      <c r="DJ102" s="872">
        <v>3.61080918597896</v>
      </c>
      <c r="DK102" s="874">
        <v>1</v>
      </c>
      <c r="DL102" s="858"/>
      <c r="DM102" s="871"/>
      <c r="DN102" s="858">
        <v>0</v>
      </c>
      <c r="DO102" s="872">
        <v>0</v>
      </c>
      <c r="DP102" s="872">
        <v>0</v>
      </c>
      <c r="DQ102" s="872">
        <v>0</v>
      </c>
    </row>
    <row r="103" s="861" customFormat="1" ht="14.25" customHeight="1" spans="1:121">
      <c r="A103" s="852">
        <v>101</v>
      </c>
      <c r="B103" s="853" t="s">
        <v>546</v>
      </c>
      <c r="C103" s="853" t="s">
        <v>1401</v>
      </c>
      <c r="D103" s="873" t="s">
        <v>492</v>
      </c>
      <c r="E103" s="869">
        <v>6216.27780193206</v>
      </c>
      <c r="F103" s="870">
        <v>0</v>
      </c>
      <c r="G103" s="872">
        <v>0</v>
      </c>
      <c r="H103" s="858" t="s">
        <v>1444</v>
      </c>
      <c r="I103" s="871">
        <v>0</v>
      </c>
      <c r="J103" s="858">
        <v>0</v>
      </c>
      <c r="K103" s="872">
        <v>0</v>
      </c>
      <c r="L103" s="872">
        <v>0</v>
      </c>
      <c r="M103" s="874">
        <v>0</v>
      </c>
      <c r="N103" s="858" t="s">
        <v>1444</v>
      </c>
      <c r="O103" s="871">
        <v>0.05</v>
      </c>
      <c r="P103" s="858">
        <v>310.813890096603</v>
      </c>
      <c r="Q103" s="872">
        <v>310.813890096603</v>
      </c>
      <c r="R103" s="872">
        <v>0</v>
      </c>
      <c r="S103" s="874">
        <v>0.05</v>
      </c>
      <c r="T103" s="858" t="s">
        <v>1444</v>
      </c>
      <c r="U103" s="871">
        <v>0.05</v>
      </c>
      <c r="V103" s="858">
        <v>310.813890096603</v>
      </c>
      <c r="W103" s="872">
        <v>310.813890096603</v>
      </c>
      <c r="X103" s="872">
        <v>0</v>
      </c>
      <c r="Y103" s="874">
        <v>0.1</v>
      </c>
      <c r="Z103" s="858" t="s">
        <v>1444</v>
      </c>
      <c r="AA103" s="871">
        <v>0.1</v>
      </c>
      <c r="AB103" s="858">
        <v>621.627780193206</v>
      </c>
      <c r="AC103" s="872">
        <v>621.627780193206</v>
      </c>
      <c r="AD103" s="872">
        <v>0</v>
      </c>
      <c r="AE103" s="874">
        <v>0.2</v>
      </c>
      <c r="AF103" s="858" t="s">
        <v>1444</v>
      </c>
      <c r="AG103" s="890">
        <v>0.1</v>
      </c>
      <c r="AH103" s="858">
        <v>621.627780193206</v>
      </c>
      <c r="AI103" s="872">
        <v>621.627780193206</v>
      </c>
      <c r="AJ103" s="872">
        <v>0</v>
      </c>
      <c r="AK103" s="874">
        <v>0.3</v>
      </c>
      <c r="AL103" s="858" t="s">
        <v>1444</v>
      </c>
      <c r="AM103" s="871">
        <v>0.1</v>
      </c>
      <c r="AN103" s="858">
        <v>621.627780193206</v>
      </c>
      <c r="AO103" s="872">
        <v>621.627780193206</v>
      </c>
      <c r="AP103" s="872">
        <v>0</v>
      </c>
      <c r="AQ103" s="874">
        <v>0.4</v>
      </c>
      <c r="AR103" s="858" t="s">
        <v>1444</v>
      </c>
      <c r="AS103" s="871">
        <v>0.1</v>
      </c>
      <c r="AT103" s="858">
        <v>621.627780193206</v>
      </c>
      <c r="AU103" s="872">
        <v>621.627780193206</v>
      </c>
      <c r="AV103" s="872">
        <v>0</v>
      </c>
      <c r="AW103" s="874">
        <v>0.5</v>
      </c>
      <c r="AX103" s="858" t="s">
        <v>1444</v>
      </c>
      <c r="AY103" s="871">
        <v>0.1</v>
      </c>
      <c r="AZ103" s="858">
        <v>621.627780193206</v>
      </c>
      <c r="BA103" s="872">
        <v>621.627780193206</v>
      </c>
      <c r="BB103" s="872">
        <v>0</v>
      </c>
      <c r="BC103" s="874">
        <v>0.6</v>
      </c>
      <c r="BD103" s="858" t="s">
        <v>1444</v>
      </c>
      <c r="BE103" s="871">
        <v>0.1</v>
      </c>
      <c r="BF103" s="858">
        <v>621.627780193206</v>
      </c>
      <c r="BG103" s="872">
        <v>621.627780193206</v>
      </c>
      <c r="BH103" s="872">
        <v>0</v>
      </c>
      <c r="BI103" s="874">
        <v>0.7</v>
      </c>
      <c r="BJ103" s="858" t="s">
        <v>1444</v>
      </c>
      <c r="BK103" s="871">
        <v>0.05</v>
      </c>
      <c r="BL103" s="858">
        <v>310.813890096603</v>
      </c>
      <c r="BM103" s="872">
        <v>310.813890096603</v>
      </c>
      <c r="BN103" s="872">
        <v>0</v>
      </c>
      <c r="BO103" s="874">
        <v>0.75</v>
      </c>
      <c r="BP103" s="858" t="s">
        <v>1444</v>
      </c>
      <c r="BQ103" s="871">
        <v>0.05</v>
      </c>
      <c r="BR103" s="858">
        <v>310.813890096603</v>
      </c>
      <c r="BS103" s="872">
        <v>310.813890096603</v>
      </c>
      <c r="BT103" s="872">
        <v>0</v>
      </c>
      <c r="BU103" s="874">
        <v>0.8</v>
      </c>
      <c r="BV103" s="858" t="s">
        <v>1444</v>
      </c>
      <c r="BW103" s="871">
        <v>0.05</v>
      </c>
      <c r="BX103" s="858">
        <v>310.813890096603</v>
      </c>
      <c r="BY103" s="872">
        <v>310.813890096603</v>
      </c>
      <c r="BZ103" s="872">
        <v>0</v>
      </c>
      <c r="CA103" s="874">
        <v>0.85</v>
      </c>
      <c r="CB103" s="858" t="s">
        <v>1444</v>
      </c>
      <c r="CC103" s="871">
        <v>0</v>
      </c>
      <c r="CD103" s="858">
        <v>0</v>
      </c>
      <c r="CE103" s="872">
        <v>0</v>
      </c>
      <c r="CF103" s="872">
        <v>0</v>
      </c>
      <c r="CG103" s="874">
        <v>0.85</v>
      </c>
      <c r="CH103" s="858" t="s">
        <v>1444</v>
      </c>
      <c r="CI103" s="871">
        <v>0.05</v>
      </c>
      <c r="CJ103" s="858">
        <v>310.813890096603</v>
      </c>
      <c r="CK103" s="872">
        <v>310.813890096603</v>
      </c>
      <c r="CL103" s="872">
        <v>0</v>
      </c>
      <c r="CM103" s="874">
        <v>0.9</v>
      </c>
      <c r="CN103" s="858" t="s">
        <v>1444</v>
      </c>
      <c r="CO103" s="871">
        <v>0.05</v>
      </c>
      <c r="CP103" s="858">
        <v>310.813890096603</v>
      </c>
      <c r="CQ103" s="872">
        <v>310.813890096603</v>
      </c>
      <c r="CR103" s="872">
        <v>0</v>
      </c>
      <c r="CS103" s="874">
        <v>0.95</v>
      </c>
      <c r="CT103" s="858" t="s">
        <v>1444</v>
      </c>
      <c r="CU103" s="871">
        <v>0.05</v>
      </c>
      <c r="CV103" s="858">
        <v>310.813890096603</v>
      </c>
      <c r="CW103" s="872">
        <v>310.813890096603</v>
      </c>
      <c r="CX103" s="872">
        <v>0</v>
      </c>
      <c r="CY103" s="874">
        <v>1</v>
      </c>
      <c r="CZ103" s="858"/>
      <c r="DA103" s="871"/>
      <c r="DB103" s="858">
        <v>0</v>
      </c>
      <c r="DC103" s="872">
        <v>0</v>
      </c>
      <c r="DD103" s="872">
        <v>0</v>
      </c>
      <c r="DE103" s="874">
        <v>1</v>
      </c>
      <c r="DF103" s="858"/>
      <c r="DG103" s="871"/>
      <c r="DH103" s="858">
        <v>0</v>
      </c>
      <c r="DI103" s="872">
        <v>0</v>
      </c>
      <c r="DJ103" s="872">
        <v>0</v>
      </c>
      <c r="DK103" s="874">
        <v>1</v>
      </c>
      <c r="DL103" s="858"/>
      <c r="DM103" s="871"/>
      <c r="DN103" s="858">
        <v>0</v>
      </c>
      <c r="DO103" s="872">
        <v>0</v>
      </c>
      <c r="DP103" s="872">
        <v>0</v>
      </c>
      <c r="DQ103" s="872">
        <v>0</v>
      </c>
    </row>
    <row r="104" s="861" customFormat="1" ht="17.1" customHeight="1" spans="1:121">
      <c r="A104" s="852">
        <v>102</v>
      </c>
      <c r="B104" s="853" t="s">
        <v>1345</v>
      </c>
      <c r="C104" s="853" t="s">
        <v>1349</v>
      </c>
      <c r="D104" s="873" t="s">
        <v>1405</v>
      </c>
      <c r="E104" s="869">
        <v>0</v>
      </c>
      <c r="F104" s="870">
        <v>0.11</v>
      </c>
      <c r="G104" s="872">
        <v>0</v>
      </c>
      <c r="H104" s="858" t="s">
        <v>1441</v>
      </c>
      <c r="I104" s="871">
        <v>0</v>
      </c>
      <c r="J104" s="858">
        <v>0</v>
      </c>
      <c r="K104" s="872">
        <v>0</v>
      </c>
      <c r="L104" s="872">
        <v>0</v>
      </c>
      <c r="M104" s="874">
        <v>0</v>
      </c>
      <c r="N104" s="858" t="s">
        <v>1441</v>
      </c>
      <c r="O104" s="871">
        <v>0</v>
      </c>
      <c r="P104" s="858">
        <v>0</v>
      </c>
      <c r="Q104" s="872">
        <v>0</v>
      </c>
      <c r="R104" s="872">
        <v>0</v>
      </c>
      <c r="S104" s="874">
        <v>0</v>
      </c>
      <c r="T104" s="858" t="s">
        <v>1441</v>
      </c>
      <c r="U104" s="871">
        <v>0</v>
      </c>
      <c r="V104" s="858">
        <v>0</v>
      </c>
      <c r="W104" s="872">
        <v>0</v>
      </c>
      <c r="X104" s="872">
        <v>0</v>
      </c>
      <c r="Y104" s="874">
        <v>0</v>
      </c>
      <c r="Z104" s="858" t="s">
        <v>1441</v>
      </c>
      <c r="AA104" s="871">
        <v>0</v>
      </c>
      <c r="AB104" s="858">
        <v>0</v>
      </c>
      <c r="AC104" s="872">
        <v>0</v>
      </c>
      <c r="AD104" s="872">
        <v>0</v>
      </c>
      <c r="AE104" s="874">
        <v>0</v>
      </c>
      <c r="AF104" s="858" t="s">
        <v>1441</v>
      </c>
      <c r="AG104" s="889">
        <v>0</v>
      </c>
      <c r="AH104" s="858">
        <v>0</v>
      </c>
      <c r="AI104" s="872">
        <v>0</v>
      </c>
      <c r="AJ104" s="872">
        <v>0</v>
      </c>
      <c r="AK104" s="874">
        <v>0</v>
      </c>
      <c r="AL104" s="858" t="s">
        <v>1441</v>
      </c>
      <c r="AM104" s="871">
        <v>0</v>
      </c>
      <c r="AN104" s="858">
        <v>0</v>
      </c>
      <c r="AO104" s="872">
        <v>0</v>
      </c>
      <c r="AP104" s="872">
        <v>0</v>
      </c>
      <c r="AQ104" s="874">
        <v>0</v>
      </c>
      <c r="AR104" s="858" t="s">
        <v>1441</v>
      </c>
      <c r="AS104" s="871">
        <v>0</v>
      </c>
      <c r="AT104" s="858">
        <v>0</v>
      </c>
      <c r="AU104" s="872">
        <v>0</v>
      </c>
      <c r="AV104" s="872">
        <v>0</v>
      </c>
      <c r="AW104" s="874">
        <v>0</v>
      </c>
      <c r="AX104" s="858" t="s">
        <v>1441</v>
      </c>
      <c r="AY104" s="871">
        <v>0</v>
      </c>
      <c r="AZ104" s="858">
        <v>0</v>
      </c>
      <c r="BA104" s="872">
        <v>0</v>
      </c>
      <c r="BB104" s="872">
        <v>0</v>
      </c>
      <c r="BC104" s="874">
        <v>0</v>
      </c>
      <c r="BD104" s="858" t="s">
        <v>1441</v>
      </c>
      <c r="BE104" s="871">
        <v>0</v>
      </c>
      <c r="BF104" s="858">
        <v>0</v>
      </c>
      <c r="BG104" s="872">
        <v>0</v>
      </c>
      <c r="BH104" s="872">
        <v>0</v>
      </c>
      <c r="BI104" s="874">
        <v>0</v>
      </c>
      <c r="BJ104" s="858" t="s">
        <v>1441</v>
      </c>
      <c r="BK104" s="871">
        <v>0</v>
      </c>
      <c r="BL104" s="858">
        <v>0</v>
      </c>
      <c r="BM104" s="872">
        <v>0</v>
      </c>
      <c r="BN104" s="872">
        <v>0</v>
      </c>
      <c r="BO104" s="874">
        <v>0</v>
      </c>
      <c r="BP104" s="858" t="s">
        <v>1441</v>
      </c>
      <c r="BQ104" s="871">
        <v>0</v>
      </c>
      <c r="BR104" s="858">
        <v>0</v>
      </c>
      <c r="BS104" s="872">
        <v>0</v>
      </c>
      <c r="BT104" s="872">
        <v>0</v>
      </c>
      <c r="BU104" s="874">
        <v>0</v>
      </c>
      <c r="BV104" s="858" t="s">
        <v>1441</v>
      </c>
      <c r="BW104" s="871">
        <v>0</v>
      </c>
      <c r="BX104" s="858">
        <v>0</v>
      </c>
      <c r="BY104" s="872">
        <v>0</v>
      </c>
      <c r="BZ104" s="872">
        <v>0</v>
      </c>
      <c r="CA104" s="874">
        <v>0</v>
      </c>
      <c r="CB104" s="858" t="s">
        <v>1441</v>
      </c>
      <c r="CC104" s="871">
        <v>0</v>
      </c>
      <c r="CD104" s="858">
        <v>0</v>
      </c>
      <c r="CE104" s="872">
        <v>0</v>
      </c>
      <c r="CF104" s="872">
        <v>0</v>
      </c>
      <c r="CG104" s="874">
        <v>0</v>
      </c>
      <c r="CH104" s="858" t="s">
        <v>1441</v>
      </c>
      <c r="CI104" s="871">
        <v>0</v>
      </c>
      <c r="CJ104" s="858">
        <v>0</v>
      </c>
      <c r="CK104" s="872">
        <v>0</v>
      </c>
      <c r="CL104" s="872">
        <v>0</v>
      </c>
      <c r="CM104" s="874">
        <v>0</v>
      </c>
      <c r="CN104" s="858" t="s">
        <v>1441</v>
      </c>
      <c r="CO104" s="871">
        <v>0</v>
      </c>
      <c r="CP104" s="858">
        <v>0</v>
      </c>
      <c r="CQ104" s="872">
        <v>0</v>
      </c>
      <c r="CR104" s="872">
        <v>0</v>
      </c>
      <c r="CS104" s="874">
        <v>0</v>
      </c>
      <c r="CT104" s="858" t="s">
        <v>1441</v>
      </c>
      <c r="CU104" s="871">
        <v>0.8</v>
      </c>
      <c r="CV104" s="858">
        <v>0</v>
      </c>
      <c r="CW104" s="872">
        <v>0</v>
      </c>
      <c r="CX104" s="872">
        <v>0</v>
      </c>
      <c r="CY104" s="874">
        <v>0.8</v>
      </c>
      <c r="CZ104" s="858" t="s">
        <v>1441</v>
      </c>
      <c r="DA104" s="871">
        <v>0</v>
      </c>
      <c r="DB104" s="858">
        <v>0</v>
      </c>
      <c r="DC104" s="872">
        <v>0</v>
      </c>
      <c r="DD104" s="872">
        <v>0</v>
      </c>
      <c r="DE104" s="874">
        <v>0.8</v>
      </c>
      <c r="DF104" s="858" t="s">
        <v>1441</v>
      </c>
      <c r="DG104" s="871">
        <v>0.15</v>
      </c>
      <c r="DH104" s="858">
        <v>0</v>
      </c>
      <c r="DI104" s="872">
        <v>0</v>
      </c>
      <c r="DJ104" s="872">
        <v>0</v>
      </c>
      <c r="DK104" s="874">
        <v>0.95</v>
      </c>
      <c r="DL104" s="858" t="s">
        <v>1443</v>
      </c>
      <c r="DM104" s="871">
        <v>0.05</v>
      </c>
      <c r="DN104" s="858">
        <v>0</v>
      </c>
      <c r="DO104" s="872">
        <v>0</v>
      </c>
      <c r="DP104" s="872">
        <v>0</v>
      </c>
      <c r="DQ104" s="872">
        <v>0</v>
      </c>
    </row>
    <row r="105" s="861" customFormat="1" ht="14.25" customHeight="1" spans="1:121">
      <c r="A105" s="852">
        <v>103</v>
      </c>
      <c r="B105" s="853" t="s">
        <v>1345</v>
      </c>
      <c r="C105" s="858" t="s">
        <v>1346</v>
      </c>
      <c r="D105" s="853" t="s">
        <v>1406</v>
      </c>
      <c r="E105" s="869">
        <v>284.241129745938</v>
      </c>
      <c r="F105" s="870">
        <v>0.11</v>
      </c>
      <c r="G105" s="872">
        <v>0</v>
      </c>
      <c r="H105" s="858" t="s">
        <v>1441</v>
      </c>
      <c r="I105" s="871">
        <v>0</v>
      </c>
      <c r="J105" s="858">
        <v>0</v>
      </c>
      <c r="K105" s="872">
        <v>0</v>
      </c>
      <c r="L105" s="872">
        <v>0</v>
      </c>
      <c r="M105" s="874">
        <v>0</v>
      </c>
      <c r="N105" s="858" t="s">
        <v>1441</v>
      </c>
      <c r="O105" s="871">
        <v>0</v>
      </c>
      <c r="P105" s="858">
        <v>0</v>
      </c>
      <c r="Q105" s="872">
        <v>0</v>
      </c>
      <c r="R105" s="872">
        <v>0</v>
      </c>
      <c r="S105" s="874">
        <v>0</v>
      </c>
      <c r="T105" s="858" t="s">
        <v>1441</v>
      </c>
      <c r="U105" s="871">
        <v>0</v>
      </c>
      <c r="V105" s="858">
        <v>0</v>
      </c>
      <c r="W105" s="872">
        <v>0</v>
      </c>
      <c r="X105" s="872">
        <v>0</v>
      </c>
      <c r="Y105" s="874">
        <v>0</v>
      </c>
      <c r="Z105" s="858" t="s">
        <v>1441</v>
      </c>
      <c r="AA105" s="871">
        <v>0</v>
      </c>
      <c r="AB105" s="858">
        <v>0</v>
      </c>
      <c r="AC105" s="872">
        <v>0</v>
      </c>
      <c r="AD105" s="872">
        <v>0</v>
      </c>
      <c r="AE105" s="874">
        <v>0</v>
      </c>
      <c r="AF105" s="858" t="s">
        <v>1441</v>
      </c>
      <c r="AG105" s="889">
        <v>0</v>
      </c>
      <c r="AH105" s="858">
        <v>0</v>
      </c>
      <c r="AI105" s="872">
        <v>0</v>
      </c>
      <c r="AJ105" s="872">
        <v>0</v>
      </c>
      <c r="AK105" s="874">
        <v>0</v>
      </c>
      <c r="AL105" s="858" t="s">
        <v>1441</v>
      </c>
      <c r="AM105" s="871">
        <v>0</v>
      </c>
      <c r="AN105" s="858">
        <v>0</v>
      </c>
      <c r="AO105" s="872">
        <v>0</v>
      </c>
      <c r="AP105" s="872">
        <v>0</v>
      </c>
      <c r="AQ105" s="874">
        <v>0</v>
      </c>
      <c r="AR105" s="858" t="s">
        <v>1441</v>
      </c>
      <c r="AS105" s="871">
        <v>0</v>
      </c>
      <c r="AT105" s="858">
        <v>0</v>
      </c>
      <c r="AU105" s="872">
        <v>0</v>
      </c>
      <c r="AV105" s="872">
        <v>0</v>
      </c>
      <c r="AW105" s="874">
        <v>0</v>
      </c>
      <c r="AX105" s="858" t="s">
        <v>1441</v>
      </c>
      <c r="AY105" s="871">
        <v>0</v>
      </c>
      <c r="AZ105" s="858">
        <v>0</v>
      </c>
      <c r="BA105" s="872">
        <v>0</v>
      </c>
      <c r="BB105" s="872">
        <v>0</v>
      </c>
      <c r="BC105" s="874">
        <v>0</v>
      </c>
      <c r="BD105" s="858" t="s">
        <v>1441</v>
      </c>
      <c r="BE105" s="871">
        <v>0</v>
      </c>
      <c r="BF105" s="858">
        <v>0</v>
      </c>
      <c r="BG105" s="872">
        <v>0</v>
      </c>
      <c r="BH105" s="872">
        <v>0</v>
      </c>
      <c r="BI105" s="874">
        <v>0</v>
      </c>
      <c r="BJ105" s="858" t="s">
        <v>1441</v>
      </c>
      <c r="BK105" s="871">
        <v>0</v>
      </c>
      <c r="BL105" s="858">
        <v>0</v>
      </c>
      <c r="BM105" s="872">
        <v>0</v>
      </c>
      <c r="BN105" s="872">
        <v>0</v>
      </c>
      <c r="BO105" s="874">
        <v>0</v>
      </c>
      <c r="BP105" s="858" t="s">
        <v>1441</v>
      </c>
      <c r="BQ105" s="871">
        <v>0.1</v>
      </c>
      <c r="BR105" s="858">
        <v>28.4241129745938</v>
      </c>
      <c r="BS105" s="872">
        <v>25.6073089861206</v>
      </c>
      <c r="BT105" s="872">
        <v>2.81680398847326</v>
      </c>
      <c r="BU105" s="874">
        <v>0.1</v>
      </c>
      <c r="BV105" s="858" t="s">
        <v>1441</v>
      </c>
      <c r="BW105" s="871">
        <v>0.1</v>
      </c>
      <c r="BX105" s="858">
        <v>28.4241129745938</v>
      </c>
      <c r="BY105" s="872">
        <v>25.6073089861206</v>
      </c>
      <c r="BZ105" s="872">
        <v>2.81680398847326</v>
      </c>
      <c r="CA105" s="874">
        <v>0.2</v>
      </c>
      <c r="CB105" s="858" t="s">
        <v>1441</v>
      </c>
      <c r="CC105" s="871">
        <v>0.1</v>
      </c>
      <c r="CD105" s="858">
        <v>28.4241129745938</v>
      </c>
      <c r="CE105" s="872">
        <v>25.6073089861206</v>
      </c>
      <c r="CF105" s="872">
        <v>2.81680398847326</v>
      </c>
      <c r="CG105" s="874">
        <v>0.3</v>
      </c>
      <c r="CH105" s="858" t="s">
        <v>1441</v>
      </c>
      <c r="CI105" s="871">
        <v>0.1</v>
      </c>
      <c r="CJ105" s="858">
        <v>28.4241129745938</v>
      </c>
      <c r="CK105" s="872">
        <v>25.6073089861206</v>
      </c>
      <c r="CL105" s="872">
        <v>2.81680398847326</v>
      </c>
      <c r="CM105" s="874">
        <v>0.4</v>
      </c>
      <c r="CN105" s="858" t="s">
        <v>1441</v>
      </c>
      <c r="CO105" s="871">
        <v>0.2</v>
      </c>
      <c r="CP105" s="858">
        <v>56.8482259491877</v>
      </c>
      <c r="CQ105" s="872">
        <v>51.2146179722411</v>
      </c>
      <c r="CR105" s="872">
        <v>5.63360797694653</v>
      </c>
      <c r="CS105" s="874">
        <v>0.6</v>
      </c>
      <c r="CT105" s="858" t="s">
        <v>1441</v>
      </c>
      <c r="CU105" s="871">
        <v>0.15</v>
      </c>
      <c r="CV105" s="858">
        <v>42.6361694618908</v>
      </c>
      <c r="CW105" s="872">
        <v>38.4109634791809</v>
      </c>
      <c r="CX105" s="872">
        <v>4.22520598270989</v>
      </c>
      <c r="CY105" s="874">
        <v>0.75</v>
      </c>
      <c r="CZ105" s="858" t="s">
        <v>1441</v>
      </c>
      <c r="DA105" s="871">
        <v>0</v>
      </c>
      <c r="DB105" s="858">
        <v>0</v>
      </c>
      <c r="DC105" s="872">
        <v>0</v>
      </c>
      <c r="DD105" s="872">
        <v>0</v>
      </c>
      <c r="DE105" s="874">
        <v>0.75</v>
      </c>
      <c r="DF105" s="858" t="s">
        <v>1441</v>
      </c>
      <c r="DG105" s="871">
        <v>0.2</v>
      </c>
      <c r="DH105" s="858">
        <v>56.8482259491877</v>
      </c>
      <c r="DI105" s="872">
        <v>51.2146179722411</v>
      </c>
      <c r="DJ105" s="872">
        <v>5.63360797694653</v>
      </c>
      <c r="DK105" s="874">
        <v>0.95</v>
      </c>
      <c r="DL105" s="858" t="s">
        <v>1443</v>
      </c>
      <c r="DM105" s="871">
        <v>0.05</v>
      </c>
      <c r="DN105" s="858">
        <v>14.2120564872969</v>
      </c>
      <c r="DO105" s="872">
        <v>12.8036544930603</v>
      </c>
      <c r="DP105" s="872">
        <v>1.40840199423663</v>
      </c>
      <c r="DQ105" s="872">
        <v>0</v>
      </c>
    </row>
    <row r="106" s="861" customFormat="1" ht="15.75" customHeight="1" spans="1:121">
      <c r="A106" s="872"/>
      <c r="B106" s="880" t="s">
        <v>2</v>
      </c>
      <c r="C106" s="881"/>
      <c r="D106" s="882"/>
      <c r="E106" s="883">
        <v>168689.842765036</v>
      </c>
      <c r="F106" s="884"/>
      <c r="G106" s="871"/>
      <c r="H106" s="872"/>
      <c r="I106" s="871"/>
      <c r="J106" s="883">
        <v>43884.7312834034</v>
      </c>
      <c r="K106" s="883">
        <v>39555.9081735609</v>
      </c>
      <c r="L106" s="883">
        <v>4328.82310984249</v>
      </c>
      <c r="M106" s="872"/>
      <c r="N106" s="872"/>
      <c r="O106" s="872"/>
      <c r="P106" s="883">
        <v>335.91120230836</v>
      </c>
      <c r="Q106" s="883">
        <v>334.502986725829</v>
      </c>
      <c r="R106" s="883">
        <v>1.40821558253179</v>
      </c>
      <c r="S106" s="872"/>
      <c r="T106" s="872"/>
      <c r="U106" s="872"/>
      <c r="V106" s="883">
        <v>533.998531322189</v>
      </c>
      <c r="W106" s="883">
        <v>523.00142898168</v>
      </c>
      <c r="X106" s="883">
        <v>10.9971023405096</v>
      </c>
      <c r="Y106" s="872"/>
      <c r="Z106" s="872"/>
      <c r="AA106" s="872"/>
      <c r="AB106" s="883">
        <v>7141.91007424909</v>
      </c>
      <c r="AC106" s="883">
        <v>6509.42219085019</v>
      </c>
      <c r="AD106" s="883">
        <v>632.4878833989</v>
      </c>
      <c r="AE106" s="872"/>
      <c r="AF106" s="872"/>
      <c r="AG106" s="872"/>
      <c r="AH106" s="883">
        <v>890.965878428321</v>
      </c>
      <c r="AI106" s="883">
        <v>871.069057789657</v>
      </c>
      <c r="AJ106" s="883">
        <v>19.8968206386639</v>
      </c>
      <c r="AK106" s="872"/>
      <c r="AL106" s="872"/>
      <c r="AM106" s="872"/>
      <c r="AN106" s="883">
        <v>9786.10932971609</v>
      </c>
      <c r="AO106" s="883">
        <v>8853.83125732216</v>
      </c>
      <c r="AP106" s="883">
        <v>932.278072393931</v>
      </c>
      <c r="AQ106" s="872"/>
      <c r="AR106" s="872"/>
      <c r="AS106" s="872"/>
      <c r="AT106" s="883">
        <v>752.015049946035</v>
      </c>
      <c r="AU106" s="883">
        <v>744.480833256564</v>
      </c>
      <c r="AV106" s="883">
        <v>7.53421668947142</v>
      </c>
      <c r="AW106" s="872"/>
      <c r="AX106" s="872"/>
      <c r="AY106" s="872"/>
      <c r="AZ106" s="883">
        <v>670.225989282677</v>
      </c>
      <c r="BA106" s="883">
        <v>667.309987318849</v>
      </c>
      <c r="BB106" s="883">
        <v>2.91600196382846</v>
      </c>
      <c r="BC106" s="872"/>
      <c r="BD106" s="872"/>
      <c r="BE106" s="872"/>
      <c r="BF106" s="883">
        <v>14251.251098188</v>
      </c>
      <c r="BG106" s="883">
        <v>13400.7915353487</v>
      </c>
      <c r="BH106" s="883">
        <v>850.459562839331</v>
      </c>
      <c r="BI106" s="872"/>
      <c r="BJ106" s="872"/>
      <c r="BK106" s="872"/>
      <c r="BL106" s="883">
        <v>19536.7217583443</v>
      </c>
      <c r="BM106" s="883">
        <v>17615.0342211996</v>
      </c>
      <c r="BN106" s="883">
        <v>1921.68753714474</v>
      </c>
      <c r="BO106" s="872"/>
      <c r="BP106" s="872"/>
      <c r="BQ106" s="872"/>
      <c r="BR106" s="883">
        <v>14306.0773272362</v>
      </c>
      <c r="BS106" s="883">
        <v>12857.7225379059</v>
      </c>
      <c r="BT106" s="883">
        <v>1448.35478933029</v>
      </c>
      <c r="BU106" s="872"/>
      <c r="BV106" s="872"/>
      <c r="BW106" s="872"/>
      <c r="BX106" s="883">
        <v>9413.63776024636</v>
      </c>
      <c r="BY106" s="883">
        <v>8511.55611545674</v>
      </c>
      <c r="BZ106" s="883">
        <v>902.081644789617</v>
      </c>
      <c r="CA106" s="872"/>
      <c r="CB106" s="872"/>
      <c r="CC106" s="872"/>
      <c r="CD106" s="883">
        <v>1458.09414783767</v>
      </c>
      <c r="CE106" s="883">
        <v>1304.5623422046</v>
      </c>
      <c r="CF106" s="883">
        <v>153.531805633078</v>
      </c>
      <c r="CG106" s="872"/>
      <c r="CH106" s="872"/>
      <c r="CI106" s="872"/>
      <c r="CJ106" s="883">
        <v>366.784100421809</v>
      </c>
      <c r="CK106" s="883">
        <v>362.408083375754</v>
      </c>
      <c r="CL106" s="883">
        <v>4.37601704605509</v>
      </c>
      <c r="CM106" s="872"/>
      <c r="CN106" s="872"/>
      <c r="CO106" s="872"/>
      <c r="CP106" s="883">
        <v>1184.33168509004</v>
      </c>
      <c r="CQ106" s="883">
        <v>1096.72567677055</v>
      </c>
      <c r="CR106" s="883">
        <v>87.6060083194831</v>
      </c>
      <c r="CS106" s="872"/>
      <c r="CT106" s="872"/>
      <c r="CU106" s="872"/>
      <c r="CV106" s="883">
        <v>19785.7260127605</v>
      </c>
      <c r="CW106" s="883">
        <v>17803.098224763</v>
      </c>
      <c r="CX106" s="883">
        <v>1982.62778799752</v>
      </c>
      <c r="CY106" s="872"/>
      <c r="CZ106" s="872"/>
      <c r="DA106" s="872"/>
      <c r="DB106" s="883">
        <v>5118.27338244186</v>
      </c>
      <c r="DC106" s="883">
        <v>4771.20357739921</v>
      </c>
      <c r="DD106" s="883">
        <v>347.069805042657</v>
      </c>
      <c r="DE106" s="872"/>
      <c r="DF106" s="872"/>
      <c r="DG106" s="872"/>
      <c r="DH106" s="883">
        <v>15076.989976913</v>
      </c>
      <c r="DI106" s="883">
        <v>13591.9992421151</v>
      </c>
      <c r="DJ106" s="883">
        <v>1484.99073479784</v>
      </c>
      <c r="DK106" s="872"/>
      <c r="DL106" s="872"/>
      <c r="DM106" s="872"/>
      <c r="DN106" s="883">
        <v>4196.08817690003</v>
      </c>
      <c r="DO106" s="883">
        <v>3783.28639210849</v>
      </c>
      <c r="DP106" s="883">
        <v>412.801784791533</v>
      </c>
      <c r="DQ106" s="883">
        <v>0</v>
      </c>
    </row>
    <row r="107" s="861" customFormat="1" spans="1:9">
      <c r="A107" s="847"/>
      <c r="B107" s="847"/>
      <c r="C107" s="847"/>
      <c r="D107" s="847"/>
      <c r="E107" s="885"/>
      <c r="F107" s="886"/>
      <c r="G107" s="887"/>
      <c r="I107" s="887"/>
    </row>
    <row r="108" spans="5:6">
      <c r="E108" s="888"/>
      <c r="F108" s="888"/>
    </row>
    <row r="109" spans="5:118">
      <c r="E109" s="888"/>
      <c r="F109" s="888"/>
      <c r="DN109" s="891"/>
    </row>
  </sheetData>
  <autoFilter ref="A2:E106"/>
  <mergeCells count="27">
    <mergeCell ref="G1:L1"/>
    <mergeCell ref="M1:R1"/>
    <mergeCell ref="S1:X1"/>
    <mergeCell ref="Y1:AD1"/>
    <mergeCell ref="AE1:AJ1"/>
    <mergeCell ref="AK1:AP1"/>
    <mergeCell ref="AQ1:AV1"/>
    <mergeCell ref="AW1:BB1"/>
    <mergeCell ref="BC1:BH1"/>
    <mergeCell ref="BI1:BN1"/>
    <mergeCell ref="BO1:BT1"/>
    <mergeCell ref="BU1:BZ1"/>
    <mergeCell ref="CA1:CF1"/>
    <mergeCell ref="CG1:CL1"/>
    <mergeCell ref="CM1:CR1"/>
    <mergeCell ref="CS1:CX1"/>
    <mergeCell ref="CY1:DD1"/>
    <mergeCell ref="DE1:DJ1"/>
    <mergeCell ref="DK1:DP1"/>
    <mergeCell ref="B106:D106"/>
    <mergeCell ref="A1:A2"/>
    <mergeCell ref="B1:B2"/>
    <mergeCell ref="C1:C2"/>
    <mergeCell ref="D1:D2"/>
    <mergeCell ref="E1:E2"/>
    <mergeCell ref="F1:F2"/>
    <mergeCell ref="DQ1:DQ2"/>
  </mergeCells>
  <conditionalFormatting sqref="D21">
    <cfRule type="duplicateValues" dxfId="81" priority="5"/>
  </conditionalFormatting>
  <conditionalFormatting sqref="D88">
    <cfRule type="duplicateValues" dxfId="82" priority="1"/>
  </conditionalFormatting>
  <conditionalFormatting sqref="D23:D25">
    <cfRule type="duplicateValues" dxfId="83" priority="4"/>
  </conditionalFormatting>
  <conditionalFormatting sqref="D84:D85">
    <cfRule type="duplicateValues" dxfId="84" priority="3"/>
  </conditionalFormatting>
  <conditionalFormatting sqref="D86:D87">
    <cfRule type="duplicateValues" dxfId="85" priority="2"/>
  </conditionalFormatting>
  <dataValidations count="1">
    <dataValidation type="list" allowBlank="1" showInputMessage="1" showErrorMessage="1" sqref="U1 W1 AA1 AC1 AG1 AI1 AM1 AO1 AS1 AU1 AY1 BA1 BE1 BG1 BK1 BM1 BQ1 BS1 BW1 BY1 CC1 CE1 CI1 CK1 CO1 CQ1 CU1 CW1 DA1 DC1 DG1 DI1 DM1 DO1">
      <formula1>"预付款,进度款,结算款,保修款,货款"</formula1>
    </dataValidation>
  </dataValidations>
  <pageMargins left="0.699305555555556" right="0.699305555555556" top="0.75" bottom="0.75" header="0.3" footer="0.3"/>
  <pageSetup paperSize="9"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B1:H211"/>
  <sheetViews>
    <sheetView topLeftCell="B40" workbookViewId="0">
      <selection activeCell="B40" sqref="$A1:$XFD1048576"/>
    </sheetView>
  </sheetViews>
  <sheetFormatPr defaultColWidth="8.6" defaultRowHeight="13.5" outlineLevelCol="7"/>
  <cols>
    <col min="1" max="1" width="8.6" style="846"/>
    <col min="2" max="2" width="6.5" style="847" customWidth="1"/>
    <col min="3" max="4" width="10.6" style="848" customWidth="1"/>
    <col min="5" max="5" width="27.6" style="848" customWidth="1"/>
    <col min="6" max="6" width="27.6" style="849" customWidth="1"/>
    <col min="7" max="7" width="13.5" style="850" customWidth="1"/>
    <col min="8" max="8" width="8.6" style="846" customWidth="1"/>
    <col min="9" max="11" width="8.6" style="846"/>
    <col min="12" max="12" width="11.4" style="846" customWidth="1"/>
    <col min="13" max="13" width="19.1" style="846" customWidth="1"/>
    <col min="14" max="16384" width="8.6" style="846"/>
  </cols>
  <sheetData>
    <row r="1" spans="2:6">
      <c r="B1" s="846"/>
      <c r="C1" s="846"/>
      <c r="D1" s="846"/>
      <c r="E1" s="846"/>
      <c r="F1" s="850"/>
    </row>
    <row r="2" spans="2:8">
      <c r="B2" s="466" t="s">
        <v>21</v>
      </c>
      <c r="C2" s="466" t="s">
        <v>1334</v>
      </c>
      <c r="D2" s="466" t="s">
        <v>1335</v>
      </c>
      <c r="E2" s="466" t="s">
        <v>605</v>
      </c>
      <c r="F2" s="487" t="s">
        <v>1445</v>
      </c>
      <c r="G2" s="487" t="s">
        <v>1446</v>
      </c>
      <c r="H2" s="851"/>
    </row>
    <row r="3" s="845" customFormat="1" spans="2:7">
      <c r="B3" s="852">
        <v>1</v>
      </c>
      <c r="C3" s="853" t="s">
        <v>440</v>
      </c>
      <c r="D3" s="853" t="s">
        <v>1341</v>
      </c>
      <c r="E3" s="853" t="s">
        <v>1302</v>
      </c>
      <c r="F3" s="854">
        <v>43502.9387428572</v>
      </c>
      <c r="G3" s="855"/>
    </row>
    <row r="4" spans="2:7">
      <c r="B4" s="852">
        <v>2</v>
      </c>
      <c r="C4" s="853" t="s">
        <v>440</v>
      </c>
      <c r="D4" s="853" t="s">
        <v>1341</v>
      </c>
      <c r="E4" s="853" t="s">
        <v>1307</v>
      </c>
      <c r="F4" s="854">
        <v>117.47268</v>
      </c>
      <c r="G4" s="856"/>
    </row>
    <row r="5" spans="2:7">
      <c r="B5" s="852">
        <v>3</v>
      </c>
      <c r="C5" s="853" t="s">
        <v>440</v>
      </c>
      <c r="D5" s="853" t="s">
        <v>1341</v>
      </c>
      <c r="E5" s="853" t="s">
        <v>1313</v>
      </c>
      <c r="F5" s="854">
        <v>0</v>
      </c>
      <c r="G5" s="856"/>
    </row>
    <row r="6" spans="2:7">
      <c r="B6" s="852">
        <v>4</v>
      </c>
      <c r="C6" s="853" t="s">
        <v>1343</v>
      </c>
      <c r="D6" s="853" t="s">
        <v>1341</v>
      </c>
      <c r="E6" s="853" t="s">
        <v>697</v>
      </c>
      <c r="F6" s="854">
        <v>0</v>
      </c>
      <c r="G6" s="856"/>
    </row>
    <row r="7" spans="2:7">
      <c r="B7" s="852">
        <v>5</v>
      </c>
      <c r="C7" s="853" t="s">
        <v>1343</v>
      </c>
      <c r="D7" s="853" t="s">
        <v>1341</v>
      </c>
      <c r="E7" s="857" t="s">
        <v>660</v>
      </c>
      <c r="F7" s="854">
        <v>0</v>
      </c>
      <c r="G7" s="856"/>
    </row>
    <row r="8" spans="2:7">
      <c r="B8" s="852">
        <v>6</v>
      </c>
      <c r="C8" s="853" t="s">
        <v>1343</v>
      </c>
      <c r="D8" s="853" t="s">
        <v>1341</v>
      </c>
      <c r="E8" s="857" t="s">
        <v>624</v>
      </c>
      <c r="F8" s="854">
        <v>116.4753028</v>
      </c>
      <c r="G8" s="856"/>
    </row>
    <row r="9" spans="2:7">
      <c r="B9" s="852">
        <v>7</v>
      </c>
      <c r="C9" s="853" t="s">
        <v>1343</v>
      </c>
      <c r="D9" s="853" t="s">
        <v>1341</v>
      </c>
      <c r="E9" s="857" t="s">
        <v>638</v>
      </c>
      <c r="F9" s="854">
        <v>46.70986566</v>
      </c>
      <c r="G9" s="856"/>
    </row>
    <row r="10" spans="2:7">
      <c r="B10" s="852">
        <v>8</v>
      </c>
      <c r="C10" s="853" t="s">
        <v>1343</v>
      </c>
      <c r="D10" s="853" t="s">
        <v>1341</v>
      </c>
      <c r="E10" s="857" t="s">
        <v>707</v>
      </c>
      <c r="F10" s="854">
        <v>68.7202639167904</v>
      </c>
      <c r="G10" s="856"/>
    </row>
    <row r="11" spans="2:7">
      <c r="B11" s="852">
        <v>9</v>
      </c>
      <c r="C11" s="853" t="s">
        <v>1343</v>
      </c>
      <c r="D11" s="853" t="s">
        <v>1341</v>
      </c>
      <c r="E11" s="857" t="s">
        <v>710</v>
      </c>
      <c r="F11" s="854">
        <v>67.2923450997357</v>
      </c>
      <c r="G11" s="856"/>
    </row>
    <row r="12" spans="2:7">
      <c r="B12" s="852">
        <v>10</v>
      </c>
      <c r="C12" s="853" t="s">
        <v>1343</v>
      </c>
      <c r="D12" s="853" t="s">
        <v>1341</v>
      </c>
      <c r="E12" s="857" t="s">
        <v>661</v>
      </c>
      <c r="F12" s="854">
        <v>6373.77322186656</v>
      </c>
      <c r="G12" s="856"/>
    </row>
    <row r="13" spans="2:7">
      <c r="B13" s="852">
        <v>11</v>
      </c>
      <c r="C13" s="853" t="s">
        <v>1343</v>
      </c>
      <c r="D13" s="853" t="s">
        <v>1341</v>
      </c>
      <c r="E13" s="853" t="s">
        <v>765</v>
      </c>
      <c r="F13" s="854">
        <v>0</v>
      </c>
      <c r="G13" s="856"/>
    </row>
    <row r="14" spans="2:7">
      <c r="B14" s="852">
        <v>12</v>
      </c>
      <c r="C14" s="853" t="s">
        <v>1343</v>
      </c>
      <c r="D14" s="853" t="s">
        <v>1341</v>
      </c>
      <c r="E14" s="853" t="s">
        <v>767</v>
      </c>
      <c r="F14" s="854">
        <v>0</v>
      </c>
      <c r="G14" s="856"/>
    </row>
    <row r="15" spans="2:7">
      <c r="B15" s="852">
        <v>13</v>
      </c>
      <c r="C15" s="853" t="s">
        <v>1343</v>
      </c>
      <c r="D15" s="853" t="s">
        <v>1341</v>
      </c>
      <c r="E15" s="853" t="s">
        <v>769</v>
      </c>
      <c r="F15" s="854">
        <v>0</v>
      </c>
      <c r="G15" s="856"/>
    </row>
    <row r="16" spans="2:7">
      <c r="B16" s="852">
        <v>14</v>
      </c>
      <c r="C16" s="853" t="s">
        <v>1345</v>
      </c>
      <c r="D16" s="858" t="s">
        <v>1346</v>
      </c>
      <c r="E16" s="853" t="s">
        <v>880</v>
      </c>
      <c r="F16" s="854">
        <v>3128.50670002776</v>
      </c>
      <c r="G16" s="856"/>
    </row>
    <row r="17" spans="2:7">
      <c r="B17" s="852">
        <v>15</v>
      </c>
      <c r="C17" s="853" t="s">
        <v>1345</v>
      </c>
      <c r="D17" s="858" t="s">
        <v>1346</v>
      </c>
      <c r="E17" s="853" t="s">
        <v>928</v>
      </c>
      <c r="F17" s="854">
        <v>6357.45583032729</v>
      </c>
      <c r="G17" s="856"/>
    </row>
    <row r="18" spans="2:7">
      <c r="B18" s="852">
        <v>16</v>
      </c>
      <c r="C18" s="853" t="s">
        <v>1345</v>
      </c>
      <c r="D18" s="858" t="s">
        <v>1346</v>
      </c>
      <c r="E18" s="853" t="s">
        <v>904</v>
      </c>
      <c r="F18" s="854">
        <v>0</v>
      </c>
      <c r="G18" s="856"/>
    </row>
    <row r="19" spans="2:7">
      <c r="B19" s="852">
        <v>17</v>
      </c>
      <c r="C19" s="853" t="s">
        <v>1345</v>
      </c>
      <c r="D19" s="853" t="s">
        <v>1348</v>
      </c>
      <c r="E19" s="853" t="s">
        <v>774</v>
      </c>
      <c r="F19" s="854">
        <v>52536.1305043966</v>
      </c>
      <c r="G19" s="856"/>
    </row>
    <row r="20" spans="2:7">
      <c r="B20" s="852">
        <v>18</v>
      </c>
      <c r="C20" s="853" t="s">
        <v>1345</v>
      </c>
      <c r="D20" s="853" t="s">
        <v>1349</v>
      </c>
      <c r="E20" s="766" t="s">
        <v>1350</v>
      </c>
      <c r="F20" s="854">
        <v>0</v>
      </c>
      <c r="G20" s="856"/>
    </row>
    <row r="21" spans="2:7">
      <c r="B21" s="852">
        <v>19</v>
      </c>
      <c r="C21" s="853" t="s">
        <v>1345</v>
      </c>
      <c r="D21" s="853" t="s">
        <v>1346</v>
      </c>
      <c r="E21" s="859" t="s">
        <v>812</v>
      </c>
      <c r="F21" s="854">
        <v>0</v>
      </c>
      <c r="G21" s="856"/>
    </row>
    <row r="22" spans="2:8">
      <c r="B22" s="852">
        <v>20</v>
      </c>
      <c r="C22" s="853" t="s">
        <v>1345</v>
      </c>
      <c r="D22" s="853" t="s">
        <v>1351</v>
      </c>
      <c r="E22" s="853" t="s">
        <v>826</v>
      </c>
      <c r="F22" s="854">
        <v>1085.53566771</v>
      </c>
      <c r="G22" s="856"/>
      <c r="H22" s="851"/>
    </row>
    <row r="23" spans="2:7">
      <c r="B23" s="852">
        <v>21</v>
      </c>
      <c r="C23" s="853" t="s">
        <v>1345</v>
      </c>
      <c r="D23" s="853" t="s">
        <v>1351</v>
      </c>
      <c r="E23" s="859" t="s">
        <v>840</v>
      </c>
      <c r="F23" s="854">
        <v>93.38</v>
      </c>
      <c r="G23" s="856"/>
    </row>
    <row r="24" spans="2:7">
      <c r="B24" s="852">
        <v>22</v>
      </c>
      <c r="C24" s="853" t="s">
        <v>1345</v>
      </c>
      <c r="D24" s="853" t="s">
        <v>1351</v>
      </c>
      <c r="E24" s="859" t="s">
        <v>843</v>
      </c>
      <c r="F24" s="854">
        <v>0</v>
      </c>
      <c r="G24" s="856"/>
    </row>
    <row r="25" spans="2:7">
      <c r="B25" s="852">
        <v>23</v>
      </c>
      <c r="C25" s="853" t="s">
        <v>1345</v>
      </c>
      <c r="D25" s="853" t="s">
        <v>1351</v>
      </c>
      <c r="E25" s="859" t="s">
        <v>850</v>
      </c>
      <c r="F25" s="854">
        <v>2587.32688066189</v>
      </c>
      <c r="G25" s="856"/>
    </row>
    <row r="26" spans="2:7">
      <c r="B26" s="852">
        <v>24</v>
      </c>
      <c r="C26" s="853" t="s">
        <v>1345</v>
      </c>
      <c r="D26" s="853" t="s">
        <v>1351</v>
      </c>
      <c r="E26" s="860" t="s">
        <v>1352</v>
      </c>
      <c r="F26" s="854">
        <v>0</v>
      </c>
      <c r="G26" s="856"/>
    </row>
    <row r="27" spans="2:7">
      <c r="B27" s="852">
        <v>25</v>
      </c>
      <c r="C27" s="853" t="s">
        <v>1345</v>
      </c>
      <c r="D27" s="853" t="s">
        <v>1351</v>
      </c>
      <c r="E27" s="853" t="s">
        <v>869</v>
      </c>
      <c r="F27" s="854">
        <v>151.818113501388</v>
      </c>
      <c r="G27" s="856"/>
    </row>
    <row r="28" spans="2:7">
      <c r="B28" s="852">
        <v>26</v>
      </c>
      <c r="C28" s="853" t="s">
        <v>1345</v>
      </c>
      <c r="D28" s="853" t="s">
        <v>1351</v>
      </c>
      <c r="E28" s="853" t="s">
        <v>874</v>
      </c>
      <c r="F28" s="854">
        <v>0</v>
      </c>
      <c r="G28" s="856"/>
    </row>
    <row r="29" spans="2:7">
      <c r="B29" s="852">
        <v>27</v>
      </c>
      <c r="C29" s="853" t="s">
        <v>1345</v>
      </c>
      <c r="D29" s="853" t="s">
        <v>1351</v>
      </c>
      <c r="E29" s="853" t="s">
        <v>1353</v>
      </c>
      <c r="F29" s="854">
        <v>0</v>
      </c>
      <c r="G29" s="856"/>
    </row>
    <row r="30" spans="2:7">
      <c r="B30" s="852">
        <v>28</v>
      </c>
      <c r="C30" s="853" t="s">
        <v>1354</v>
      </c>
      <c r="D30" s="853" t="s">
        <v>1355</v>
      </c>
      <c r="E30" s="853" t="s">
        <v>1356</v>
      </c>
      <c r="F30" s="854">
        <v>0</v>
      </c>
      <c r="G30" s="856"/>
    </row>
    <row r="31" spans="2:7">
      <c r="B31" s="852">
        <v>29</v>
      </c>
      <c r="C31" s="853" t="s">
        <v>1354</v>
      </c>
      <c r="D31" s="853" t="s">
        <v>1355</v>
      </c>
      <c r="E31" s="853" t="s">
        <v>1357</v>
      </c>
      <c r="F31" s="854">
        <v>462.323169403482</v>
      </c>
      <c r="G31" s="856"/>
    </row>
    <row r="32" spans="2:7">
      <c r="B32" s="852">
        <v>30</v>
      </c>
      <c r="C32" s="853" t="s">
        <v>1345</v>
      </c>
      <c r="D32" s="853" t="s">
        <v>1351</v>
      </c>
      <c r="E32" s="853" t="s">
        <v>1358</v>
      </c>
      <c r="F32" s="854">
        <v>353.134905806208</v>
      </c>
      <c r="G32" s="856"/>
    </row>
    <row r="33" spans="2:7">
      <c r="B33" s="852">
        <v>31</v>
      </c>
      <c r="C33" s="853" t="s">
        <v>1354</v>
      </c>
      <c r="D33" s="853" t="s">
        <v>1355</v>
      </c>
      <c r="E33" s="853" t="s">
        <v>891</v>
      </c>
      <c r="F33" s="854">
        <v>839.226483940437</v>
      </c>
      <c r="G33" s="856"/>
    </row>
    <row r="34" spans="2:7">
      <c r="B34" s="852">
        <v>32</v>
      </c>
      <c r="C34" s="853" t="s">
        <v>1345</v>
      </c>
      <c r="D34" s="858" t="s">
        <v>1346</v>
      </c>
      <c r="E34" s="853" t="s">
        <v>913</v>
      </c>
      <c r="F34" s="854">
        <v>849.627040891249</v>
      </c>
      <c r="G34" s="856"/>
    </row>
    <row r="35" spans="2:7">
      <c r="B35" s="852">
        <v>33</v>
      </c>
      <c r="C35" s="853" t="s">
        <v>1354</v>
      </c>
      <c r="D35" s="853" t="s">
        <v>1355</v>
      </c>
      <c r="E35" s="853" t="s">
        <v>943</v>
      </c>
      <c r="F35" s="854">
        <v>1238.32130107818</v>
      </c>
      <c r="G35" s="856"/>
    </row>
    <row r="36" spans="2:7">
      <c r="B36" s="852">
        <v>34</v>
      </c>
      <c r="C36" s="853" t="s">
        <v>1354</v>
      </c>
      <c r="D36" s="853" t="s">
        <v>1355</v>
      </c>
      <c r="E36" s="853" t="s">
        <v>1359</v>
      </c>
      <c r="F36" s="854">
        <v>131.664195</v>
      </c>
      <c r="G36" s="856"/>
    </row>
    <row r="37" spans="2:7">
      <c r="B37" s="852">
        <v>35</v>
      </c>
      <c r="C37" s="853" t="s">
        <v>1354</v>
      </c>
      <c r="D37" s="858" t="s">
        <v>1346</v>
      </c>
      <c r="E37" s="853" t="s">
        <v>1360</v>
      </c>
      <c r="F37" s="854">
        <v>938.96</v>
      </c>
      <c r="G37" s="856"/>
    </row>
    <row r="38" spans="2:7">
      <c r="B38" s="852">
        <v>36</v>
      </c>
      <c r="C38" s="853" t="s">
        <v>1345</v>
      </c>
      <c r="D38" s="858" t="s">
        <v>1346</v>
      </c>
      <c r="E38" s="853" t="s">
        <v>1361</v>
      </c>
      <c r="F38" s="854">
        <v>134.6</v>
      </c>
      <c r="G38" s="856"/>
    </row>
    <row r="39" spans="2:7">
      <c r="B39" s="852">
        <v>37</v>
      </c>
      <c r="C39" s="853" t="s">
        <v>1345</v>
      </c>
      <c r="D39" s="858" t="s">
        <v>1346</v>
      </c>
      <c r="E39" s="853" t="s">
        <v>931</v>
      </c>
      <c r="F39" s="854">
        <v>1962.78097789166</v>
      </c>
      <c r="G39" s="856"/>
    </row>
    <row r="40" spans="2:7">
      <c r="B40" s="852">
        <v>38</v>
      </c>
      <c r="C40" s="853" t="s">
        <v>1345</v>
      </c>
      <c r="D40" s="858" t="s">
        <v>1346</v>
      </c>
      <c r="E40" s="853" t="s">
        <v>934</v>
      </c>
      <c r="F40" s="854">
        <v>0</v>
      </c>
      <c r="G40" s="856"/>
    </row>
    <row r="41" spans="2:7">
      <c r="B41" s="852">
        <v>39</v>
      </c>
      <c r="C41" s="853" t="s">
        <v>1345</v>
      </c>
      <c r="D41" s="853" t="s">
        <v>1362</v>
      </c>
      <c r="E41" s="853" t="s">
        <v>1363</v>
      </c>
      <c r="F41" s="854">
        <v>16498.8484</v>
      </c>
      <c r="G41" s="856"/>
    </row>
    <row r="42" spans="2:7">
      <c r="B42" s="852">
        <v>40</v>
      </c>
      <c r="C42" s="853" t="s">
        <v>1345</v>
      </c>
      <c r="D42" s="853" t="s">
        <v>1349</v>
      </c>
      <c r="E42" s="853" t="s">
        <v>1364</v>
      </c>
      <c r="F42" s="854">
        <v>1122.0768</v>
      </c>
      <c r="G42" s="856"/>
    </row>
    <row r="43" spans="2:7">
      <c r="B43" s="852">
        <v>41</v>
      </c>
      <c r="C43" s="853" t="s">
        <v>1345</v>
      </c>
      <c r="D43" s="853" t="s">
        <v>1349</v>
      </c>
      <c r="E43" s="853" t="s">
        <v>1365</v>
      </c>
      <c r="F43" s="854">
        <v>1870.128</v>
      </c>
      <c r="G43" s="856"/>
    </row>
    <row r="44" spans="2:7">
      <c r="B44" s="852">
        <v>42</v>
      </c>
      <c r="C44" s="853" t="s">
        <v>1345</v>
      </c>
      <c r="D44" s="853" t="s">
        <v>1366</v>
      </c>
      <c r="E44" s="853" t="s">
        <v>1367</v>
      </c>
      <c r="F44" s="854">
        <v>311.688</v>
      </c>
      <c r="G44" s="856"/>
    </row>
    <row r="45" spans="2:7">
      <c r="B45" s="852">
        <v>43</v>
      </c>
      <c r="C45" s="853" t="s">
        <v>1345</v>
      </c>
      <c r="D45" s="853" t="s">
        <v>1349</v>
      </c>
      <c r="E45" s="853" t="s">
        <v>1368</v>
      </c>
      <c r="F45" s="854">
        <v>935.064</v>
      </c>
      <c r="G45" s="856"/>
    </row>
    <row r="46" spans="2:7">
      <c r="B46" s="852">
        <v>44</v>
      </c>
      <c r="C46" s="853" t="s">
        <v>1354</v>
      </c>
      <c r="D46" s="853" t="s">
        <v>1366</v>
      </c>
      <c r="E46" s="853" t="s">
        <v>1369</v>
      </c>
      <c r="F46" s="854">
        <v>103.896</v>
      </c>
      <c r="G46" s="856"/>
    </row>
    <row r="47" spans="2:7">
      <c r="B47" s="852">
        <v>45</v>
      </c>
      <c r="C47" s="853" t="s">
        <v>1345</v>
      </c>
      <c r="D47" s="853" t="s">
        <v>1366</v>
      </c>
      <c r="E47" s="853" t="s">
        <v>1370</v>
      </c>
      <c r="F47" s="854">
        <v>0</v>
      </c>
      <c r="G47" s="856"/>
    </row>
    <row r="48" spans="2:7">
      <c r="B48" s="852">
        <v>46</v>
      </c>
      <c r="C48" s="853" t="s">
        <v>1354</v>
      </c>
      <c r="D48" s="853" t="s">
        <v>1366</v>
      </c>
      <c r="E48" s="853" t="s">
        <v>1371</v>
      </c>
      <c r="F48" s="854">
        <v>570.2463</v>
      </c>
      <c r="G48" s="856"/>
    </row>
    <row r="49" spans="2:7">
      <c r="B49" s="852">
        <v>47</v>
      </c>
      <c r="C49" s="853" t="s">
        <v>1354</v>
      </c>
      <c r="D49" s="853" t="s">
        <v>1366</v>
      </c>
      <c r="E49" s="853" t="s">
        <v>1372</v>
      </c>
      <c r="F49" s="854">
        <v>0</v>
      </c>
      <c r="G49" s="856"/>
    </row>
    <row r="50" spans="2:7">
      <c r="B50" s="852">
        <v>48</v>
      </c>
      <c r="C50" s="853" t="s">
        <v>1354</v>
      </c>
      <c r="D50" s="853" t="s">
        <v>1366</v>
      </c>
      <c r="E50" s="853" t="s">
        <v>1373</v>
      </c>
      <c r="F50" s="854">
        <v>101.79117</v>
      </c>
      <c r="G50" s="856"/>
    </row>
    <row r="51" spans="2:7">
      <c r="B51" s="852">
        <v>49</v>
      </c>
      <c r="C51" s="853" t="s">
        <v>1354</v>
      </c>
      <c r="D51" s="853" t="s">
        <v>1366</v>
      </c>
      <c r="E51" s="853" t="s">
        <v>1374</v>
      </c>
      <c r="F51" s="854">
        <v>0</v>
      </c>
      <c r="G51" s="856"/>
    </row>
    <row r="52" spans="2:7">
      <c r="B52" s="852">
        <v>50</v>
      </c>
      <c r="C52" s="853" t="s">
        <v>1354</v>
      </c>
      <c r="D52" s="853" t="s">
        <v>1366</v>
      </c>
      <c r="E52" s="853" t="s">
        <v>1375</v>
      </c>
      <c r="F52" s="854">
        <v>87.6096</v>
      </c>
      <c r="G52" s="856"/>
    </row>
    <row r="53" spans="2:7">
      <c r="B53" s="852">
        <v>51</v>
      </c>
      <c r="C53" s="853" t="s">
        <v>1354</v>
      </c>
      <c r="D53" s="853" t="s">
        <v>1366</v>
      </c>
      <c r="E53" s="853" t="s">
        <v>1376</v>
      </c>
      <c r="F53" s="854">
        <v>317.5848</v>
      </c>
      <c r="G53" s="856"/>
    </row>
    <row r="54" spans="2:7">
      <c r="B54" s="852">
        <v>52</v>
      </c>
      <c r="C54" s="853" t="s">
        <v>1354</v>
      </c>
      <c r="D54" s="853" t="s">
        <v>1349</v>
      </c>
      <c r="E54" s="853" t="s">
        <v>1377</v>
      </c>
      <c r="F54" s="854">
        <v>0</v>
      </c>
      <c r="G54" s="856"/>
    </row>
    <row r="55" spans="2:7">
      <c r="B55" s="852">
        <v>53</v>
      </c>
      <c r="C55" s="853" t="s">
        <v>1345</v>
      </c>
      <c r="D55" s="853" t="s">
        <v>1351</v>
      </c>
      <c r="E55" s="853" t="s">
        <v>1378</v>
      </c>
      <c r="F55" s="854">
        <v>0</v>
      </c>
      <c r="G55" s="856"/>
    </row>
    <row r="56" spans="2:7">
      <c r="B56" s="852">
        <v>54</v>
      </c>
      <c r="C56" s="853" t="s">
        <v>1345</v>
      </c>
      <c r="D56" s="853" t="s">
        <v>1351</v>
      </c>
      <c r="E56" s="853" t="s">
        <v>1379</v>
      </c>
      <c r="F56" s="854">
        <v>0</v>
      </c>
      <c r="G56" s="856"/>
    </row>
    <row r="57" spans="2:7">
      <c r="B57" s="852">
        <v>55</v>
      </c>
      <c r="C57" s="853" t="s">
        <v>1354</v>
      </c>
      <c r="D57" s="853" t="s">
        <v>1351</v>
      </c>
      <c r="E57" s="290" t="s">
        <v>1380</v>
      </c>
      <c r="F57" s="854">
        <v>1016.52</v>
      </c>
      <c r="G57" s="856"/>
    </row>
    <row r="58" spans="2:7">
      <c r="B58" s="852">
        <v>56</v>
      </c>
      <c r="C58" s="853" t="s">
        <v>1345</v>
      </c>
      <c r="D58" s="853" t="s">
        <v>1351</v>
      </c>
      <c r="E58" s="853" t="s">
        <v>1381</v>
      </c>
      <c r="F58" s="854">
        <v>656.144615384615</v>
      </c>
      <c r="G58" s="856"/>
    </row>
    <row r="59" spans="2:7">
      <c r="B59" s="852">
        <v>57</v>
      </c>
      <c r="C59" s="853" t="s">
        <v>1345</v>
      </c>
      <c r="D59" s="853" t="s">
        <v>1351</v>
      </c>
      <c r="E59" s="853" t="s">
        <v>1382</v>
      </c>
      <c r="F59" s="854">
        <v>1002.44</v>
      </c>
      <c r="G59" s="856"/>
    </row>
    <row r="60" spans="2:7">
      <c r="B60" s="852">
        <v>58</v>
      </c>
      <c r="C60" s="853" t="s">
        <v>1345</v>
      </c>
      <c r="D60" s="853" t="s">
        <v>1351</v>
      </c>
      <c r="E60" s="853" t="s">
        <v>1383</v>
      </c>
      <c r="F60" s="854">
        <v>0</v>
      </c>
      <c r="G60" s="856"/>
    </row>
    <row r="61" spans="2:7">
      <c r="B61" s="852">
        <v>59</v>
      </c>
      <c r="C61" s="853" t="s">
        <v>1345</v>
      </c>
      <c r="D61" s="853" t="s">
        <v>1351</v>
      </c>
      <c r="E61" s="853" t="s">
        <v>1384</v>
      </c>
      <c r="F61" s="854">
        <v>665.7</v>
      </c>
      <c r="G61" s="856"/>
    </row>
    <row r="62" spans="2:7">
      <c r="B62" s="852">
        <v>60</v>
      </c>
      <c r="C62" s="853" t="s">
        <v>1354</v>
      </c>
      <c r="D62" s="853" t="s">
        <v>1351</v>
      </c>
      <c r="E62" s="853" t="s">
        <v>1385</v>
      </c>
      <c r="F62" s="854">
        <v>0</v>
      </c>
      <c r="G62" s="856"/>
    </row>
    <row r="63" spans="2:7">
      <c r="B63" s="852">
        <v>61</v>
      </c>
      <c r="C63" s="853" t="s">
        <v>1345</v>
      </c>
      <c r="D63" s="853" t="s">
        <v>1351</v>
      </c>
      <c r="E63" s="853" t="s">
        <v>1386</v>
      </c>
      <c r="F63" s="854">
        <v>2502.40634</v>
      </c>
      <c r="G63" s="856"/>
    </row>
    <row r="64" spans="2:7">
      <c r="B64" s="852">
        <v>62</v>
      </c>
      <c r="C64" s="853" t="s">
        <v>1345</v>
      </c>
      <c r="D64" s="853" t="s">
        <v>1351</v>
      </c>
      <c r="E64" s="853" t="s">
        <v>1387</v>
      </c>
      <c r="F64" s="854">
        <v>1440.55136615385</v>
      </c>
      <c r="G64" s="856"/>
    </row>
    <row r="65" spans="2:7">
      <c r="B65" s="852">
        <v>63</v>
      </c>
      <c r="C65" s="853" t="s">
        <v>1345</v>
      </c>
      <c r="D65" s="858" t="s">
        <v>1346</v>
      </c>
      <c r="E65" s="853" t="s">
        <v>1388</v>
      </c>
      <c r="F65" s="854">
        <v>221.1</v>
      </c>
      <c r="G65" s="856"/>
    </row>
    <row r="66" spans="2:7">
      <c r="B66" s="852">
        <v>64</v>
      </c>
      <c r="C66" s="853" t="s">
        <v>1345</v>
      </c>
      <c r="D66" s="853" t="s">
        <v>1351</v>
      </c>
      <c r="E66" s="853" t="s">
        <v>1389</v>
      </c>
      <c r="F66" s="854">
        <v>704.453</v>
      </c>
      <c r="G66" s="856"/>
    </row>
    <row r="67" spans="2:7">
      <c r="B67" s="852">
        <v>65</v>
      </c>
      <c r="C67" s="853" t="s">
        <v>1354</v>
      </c>
      <c r="D67" s="853" t="s">
        <v>1351</v>
      </c>
      <c r="E67" s="853" t="s">
        <v>1390</v>
      </c>
      <c r="F67" s="854">
        <v>0</v>
      </c>
      <c r="G67" s="856"/>
    </row>
    <row r="68" spans="2:7">
      <c r="B68" s="852">
        <v>66</v>
      </c>
      <c r="C68" s="853" t="s">
        <v>1345</v>
      </c>
      <c r="D68" s="853" t="s">
        <v>1351</v>
      </c>
      <c r="E68" s="853" t="s">
        <v>1073</v>
      </c>
      <c r="F68" s="854">
        <v>77.7011132875085</v>
      </c>
      <c r="G68" s="856"/>
    </row>
    <row r="69" spans="2:7">
      <c r="B69" s="852">
        <v>67</v>
      </c>
      <c r="C69" s="853" t="s">
        <v>1345</v>
      </c>
      <c r="D69" s="853" t="s">
        <v>1351</v>
      </c>
      <c r="E69" s="853" t="s">
        <v>1391</v>
      </c>
      <c r="F69" s="854">
        <v>17.96642</v>
      </c>
      <c r="G69" s="856"/>
    </row>
    <row r="70" spans="2:7">
      <c r="B70" s="852">
        <v>68</v>
      </c>
      <c r="C70" s="853" t="s">
        <v>1345</v>
      </c>
      <c r="D70" s="858" t="s">
        <v>1346</v>
      </c>
      <c r="E70" s="853" t="s">
        <v>993</v>
      </c>
      <c r="F70" s="854">
        <v>501.256108372281</v>
      </c>
      <c r="G70" s="856"/>
    </row>
    <row r="71" spans="2:7">
      <c r="B71" s="852">
        <v>69</v>
      </c>
      <c r="C71" s="853" t="s">
        <v>1345</v>
      </c>
      <c r="D71" s="858" t="s">
        <v>1346</v>
      </c>
      <c r="E71" s="853" t="s">
        <v>1392</v>
      </c>
      <c r="F71" s="854">
        <v>280.4878869</v>
      </c>
      <c r="G71" s="856"/>
    </row>
    <row r="72" spans="2:7">
      <c r="B72" s="852">
        <v>70</v>
      </c>
      <c r="C72" s="853" t="s">
        <v>1345</v>
      </c>
      <c r="D72" s="858" t="s">
        <v>1346</v>
      </c>
      <c r="E72" s="853" t="s">
        <v>1393</v>
      </c>
      <c r="F72" s="854">
        <v>419.380332822722</v>
      </c>
      <c r="G72" s="856"/>
    </row>
    <row r="73" spans="2:7">
      <c r="B73" s="852">
        <v>71</v>
      </c>
      <c r="C73" s="853" t="s">
        <v>1345</v>
      </c>
      <c r="D73" s="858" t="s">
        <v>1346</v>
      </c>
      <c r="E73" s="853" t="s">
        <v>1394</v>
      </c>
      <c r="F73" s="854">
        <v>79.78932</v>
      </c>
      <c r="G73" s="856"/>
    </row>
    <row r="74" spans="2:7">
      <c r="B74" s="852">
        <v>72</v>
      </c>
      <c r="C74" s="853" t="s">
        <v>1345</v>
      </c>
      <c r="D74" s="858" t="s">
        <v>1346</v>
      </c>
      <c r="E74" s="853" t="s">
        <v>1395</v>
      </c>
      <c r="F74" s="854">
        <v>0</v>
      </c>
      <c r="G74" s="856"/>
    </row>
    <row r="75" spans="2:7">
      <c r="B75" s="852">
        <v>73</v>
      </c>
      <c r="C75" s="853" t="s">
        <v>1345</v>
      </c>
      <c r="D75" s="858" t="s">
        <v>1346</v>
      </c>
      <c r="E75" s="853" t="s">
        <v>1396</v>
      </c>
      <c r="F75" s="854">
        <v>199.0008</v>
      </c>
      <c r="G75" s="856"/>
    </row>
    <row r="76" spans="2:7">
      <c r="B76" s="852">
        <v>74</v>
      </c>
      <c r="C76" s="853" t="s">
        <v>1345</v>
      </c>
      <c r="D76" s="853" t="s">
        <v>1351</v>
      </c>
      <c r="E76" s="853" t="s">
        <v>956</v>
      </c>
      <c r="F76" s="854">
        <v>2401.410224</v>
      </c>
      <c r="G76" s="856"/>
    </row>
    <row r="77" spans="2:7">
      <c r="B77" s="852">
        <v>75</v>
      </c>
      <c r="C77" s="853" t="s">
        <v>1345</v>
      </c>
      <c r="D77" s="853" t="s">
        <v>1351</v>
      </c>
      <c r="E77" s="853" t="s">
        <v>959</v>
      </c>
      <c r="F77" s="854">
        <v>0</v>
      </c>
      <c r="G77" s="856"/>
    </row>
    <row r="78" spans="2:7">
      <c r="B78" s="852">
        <v>76</v>
      </c>
      <c r="C78" s="853" t="s">
        <v>1345</v>
      </c>
      <c r="D78" s="853" t="s">
        <v>1351</v>
      </c>
      <c r="E78" s="853" t="s">
        <v>1025</v>
      </c>
      <c r="F78" s="854">
        <v>0</v>
      </c>
      <c r="G78" s="856"/>
    </row>
    <row r="79" spans="2:7">
      <c r="B79" s="852">
        <v>77</v>
      </c>
      <c r="C79" s="853" t="s">
        <v>1397</v>
      </c>
      <c r="D79" s="853" t="s">
        <v>1398</v>
      </c>
      <c r="E79" s="853" t="s">
        <v>1080</v>
      </c>
      <c r="F79" s="854">
        <v>196.012229568567</v>
      </c>
      <c r="G79" s="856"/>
    </row>
    <row r="80" spans="2:7">
      <c r="B80" s="852">
        <v>78</v>
      </c>
      <c r="C80" s="853" t="s">
        <v>1397</v>
      </c>
      <c r="D80" s="853" t="s">
        <v>1398</v>
      </c>
      <c r="E80" s="853" t="s">
        <v>1085</v>
      </c>
      <c r="F80" s="854">
        <v>570.929112456373</v>
      </c>
      <c r="G80" s="856"/>
    </row>
    <row r="81" spans="2:7">
      <c r="B81" s="852">
        <v>79</v>
      </c>
      <c r="C81" s="853" t="s">
        <v>1397</v>
      </c>
      <c r="D81" s="853" t="s">
        <v>1398</v>
      </c>
      <c r="E81" s="853" t="s">
        <v>1088</v>
      </c>
      <c r="F81" s="854">
        <v>106.741195036</v>
      </c>
      <c r="G81" s="856"/>
    </row>
    <row r="82" spans="2:7">
      <c r="B82" s="852">
        <v>80</v>
      </c>
      <c r="C82" s="853" t="s">
        <v>1397</v>
      </c>
      <c r="D82" s="853" t="s">
        <v>1398</v>
      </c>
      <c r="E82" s="766" t="s">
        <v>1399</v>
      </c>
      <c r="F82" s="854">
        <v>0</v>
      </c>
      <c r="G82" s="856"/>
    </row>
    <row r="83" spans="2:7">
      <c r="B83" s="852">
        <v>81</v>
      </c>
      <c r="C83" s="853" t="s">
        <v>1397</v>
      </c>
      <c r="D83" s="853" t="s">
        <v>1398</v>
      </c>
      <c r="E83" s="766" t="s">
        <v>1400</v>
      </c>
      <c r="F83" s="854">
        <v>0</v>
      </c>
      <c r="G83" s="856"/>
    </row>
    <row r="84" spans="2:7">
      <c r="B84" s="852">
        <v>82</v>
      </c>
      <c r="C84" s="853" t="s">
        <v>1397</v>
      </c>
      <c r="D84" s="853" t="s">
        <v>1398</v>
      </c>
      <c r="E84" s="859" t="s">
        <v>1095</v>
      </c>
      <c r="F84" s="854">
        <v>6.66905514804295</v>
      </c>
      <c r="G84" s="856"/>
    </row>
    <row r="85" spans="2:7">
      <c r="B85" s="852">
        <v>83</v>
      </c>
      <c r="C85" s="853" t="s">
        <v>1397</v>
      </c>
      <c r="D85" s="853" t="s">
        <v>1398</v>
      </c>
      <c r="E85" s="859" t="s">
        <v>1099</v>
      </c>
      <c r="F85" s="854">
        <v>61.4712909297872</v>
      </c>
      <c r="G85" s="856"/>
    </row>
    <row r="86" spans="2:7">
      <c r="B86" s="852">
        <v>84</v>
      </c>
      <c r="C86" s="853" t="s">
        <v>1397</v>
      </c>
      <c r="D86" s="853" t="s">
        <v>1398</v>
      </c>
      <c r="E86" s="859" t="s">
        <v>1104</v>
      </c>
      <c r="F86" s="854">
        <v>0</v>
      </c>
      <c r="G86" s="856"/>
    </row>
    <row r="87" spans="2:7">
      <c r="B87" s="852">
        <v>85</v>
      </c>
      <c r="C87" s="853" t="s">
        <v>1397</v>
      </c>
      <c r="D87" s="853" t="s">
        <v>1398</v>
      </c>
      <c r="E87" s="859" t="s">
        <v>1108</v>
      </c>
      <c r="F87" s="854">
        <v>170.205885734835</v>
      </c>
      <c r="G87" s="856"/>
    </row>
    <row r="88" spans="2:7">
      <c r="B88" s="852">
        <v>86</v>
      </c>
      <c r="C88" s="853" t="s">
        <v>1397</v>
      </c>
      <c r="D88" s="853" t="s">
        <v>1398</v>
      </c>
      <c r="E88" s="859" t="s">
        <v>1112</v>
      </c>
      <c r="F88" s="854">
        <v>0</v>
      </c>
      <c r="G88" s="856"/>
    </row>
    <row r="89" spans="2:7">
      <c r="B89" s="852">
        <v>87</v>
      </c>
      <c r="C89" s="853" t="s">
        <v>546</v>
      </c>
      <c r="D89" s="853" t="s">
        <v>1401</v>
      </c>
      <c r="E89" s="853" t="s">
        <v>570</v>
      </c>
      <c r="F89" s="854">
        <v>490</v>
      </c>
      <c r="G89" s="856"/>
    </row>
    <row r="90" spans="2:7">
      <c r="B90" s="852">
        <v>88</v>
      </c>
      <c r="C90" s="853" t="s">
        <v>546</v>
      </c>
      <c r="D90" s="853" t="s">
        <v>1401</v>
      </c>
      <c r="E90" s="853" t="s">
        <v>1116</v>
      </c>
      <c r="F90" s="854">
        <v>492.930163116218</v>
      </c>
      <c r="G90" s="856"/>
    </row>
    <row r="91" spans="2:7">
      <c r="B91" s="852">
        <v>89</v>
      </c>
      <c r="C91" s="853" t="s">
        <v>546</v>
      </c>
      <c r="D91" s="853" t="s">
        <v>1401</v>
      </c>
      <c r="E91" s="853" t="s">
        <v>1119</v>
      </c>
      <c r="F91" s="854">
        <v>54.8022357817443</v>
      </c>
      <c r="G91" s="856"/>
    </row>
    <row r="92" spans="2:7">
      <c r="B92" s="852">
        <v>90</v>
      </c>
      <c r="C92" s="853" t="s">
        <v>546</v>
      </c>
      <c r="D92" s="853" t="s">
        <v>1401</v>
      </c>
      <c r="E92" s="853" t="s">
        <v>1128</v>
      </c>
      <c r="F92" s="854">
        <v>0</v>
      </c>
      <c r="G92" s="856"/>
    </row>
    <row r="93" spans="2:7">
      <c r="B93" s="852">
        <v>91</v>
      </c>
      <c r="C93" s="853" t="s">
        <v>1345</v>
      </c>
      <c r="D93" s="853" t="s">
        <v>1401</v>
      </c>
      <c r="E93" s="766" t="s">
        <v>1142</v>
      </c>
      <c r="F93" s="854">
        <v>0</v>
      </c>
      <c r="G93" s="856"/>
    </row>
    <row r="94" spans="2:7">
      <c r="B94" s="852">
        <v>92</v>
      </c>
      <c r="C94" s="853" t="s">
        <v>1345</v>
      </c>
      <c r="D94" s="853" t="s">
        <v>1401</v>
      </c>
      <c r="E94" s="853" t="s">
        <v>1147</v>
      </c>
      <c r="F94" s="854">
        <v>112.701013986616</v>
      </c>
      <c r="G94" s="856"/>
    </row>
    <row r="95" spans="2:7">
      <c r="B95" s="852">
        <v>93</v>
      </c>
      <c r="C95" s="853" t="s">
        <v>1345</v>
      </c>
      <c r="D95" s="853" t="s">
        <v>1401</v>
      </c>
      <c r="E95" s="853" t="s">
        <v>1150</v>
      </c>
      <c r="F95" s="854">
        <v>37.0928580014202</v>
      </c>
      <c r="G95" s="856"/>
    </row>
    <row r="96" spans="2:7">
      <c r="B96" s="852">
        <v>94</v>
      </c>
      <c r="C96" s="853" t="s">
        <v>1345</v>
      </c>
      <c r="D96" s="853" t="s">
        <v>1401</v>
      </c>
      <c r="E96" s="853" t="s">
        <v>1133</v>
      </c>
      <c r="F96" s="854">
        <v>60.7272454005552</v>
      </c>
      <c r="G96" s="856"/>
    </row>
    <row r="97" spans="2:7">
      <c r="B97" s="852">
        <v>95</v>
      </c>
      <c r="C97" s="853" t="s">
        <v>1402</v>
      </c>
      <c r="D97" s="853" t="s">
        <v>1403</v>
      </c>
      <c r="E97" s="853" t="s">
        <v>1155</v>
      </c>
      <c r="F97" s="854">
        <v>1425</v>
      </c>
      <c r="G97" s="856"/>
    </row>
    <row r="98" spans="2:7">
      <c r="B98" s="852">
        <v>96</v>
      </c>
      <c r="C98" s="853" t="s">
        <v>1402</v>
      </c>
      <c r="D98" s="853" t="s">
        <v>1403</v>
      </c>
      <c r="E98" s="853" t="s">
        <v>1169</v>
      </c>
      <c r="F98" s="854">
        <v>284.75</v>
      </c>
      <c r="G98" s="856"/>
    </row>
    <row r="99" spans="2:7">
      <c r="B99" s="852">
        <v>97</v>
      </c>
      <c r="C99" s="853" t="s">
        <v>1402</v>
      </c>
      <c r="D99" s="853" t="s">
        <v>1403</v>
      </c>
      <c r="E99" s="853" t="s">
        <v>1185</v>
      </c>
      <c r="F99" s="854">
        <v>0</v>
      </c>
      <c r="G99" s="856"/>
    </row>
    <row r="100" spans="2:7">
      <c r="B100" s="852">
        <v>98</v>
      </c>
      <c r="C100" s="853" t="s">
        <v>1402</v>
      </c>
      <c r="D100" s="853" t="s">
        <v>1403</v>
      </c>
      <c r="E100" s="853" t="s">
        <v>1192</v>
      </c>
      <c r="F100" s="854">
        <v>0</v>
      </c>
      <c r="G100" s="856"/>
    </row>
    <row r="101" spans="2:7">
      <c r="B101" s="852">
        <v>99</v>
      </c>
      <c r="C101" s="853" t="s">
        <v>546</v>
      </c>
      <c r="D101" s="853" t="s">
        <v>1401</v>
      </c>
      <c r="E101" s="853" t="s">
        <v>1197</v>
      </c>
      <c r="F101" s="854">
        <v>550.921947012244</v>
      </c>
      <c r="G101" s="856"/>
    </row>
    <row r="102" spans="2:7">
      <c r="B102" s="852">
        <v>100</v>
      </c>
      <c r="C102" s="853" t="s">
        <v>546</v>
      </c>
      <c r="D102" s="853" t="s">
        <v>1401</v>
      </c>
      <c r="E102" s="853" t="s">
        <v>1204</v>
      </c>
      <c r="F102" s="854">
        <v>318.954811428141</v>
      </c>
      <c r="G102" s="856"/>
    </row>
    <row r="103" spans="2:7">
      <c r="B103" s="852">
        <v>101</v>
      </c>
      <c r="C103" s="853" t="s">
        <v>546</v>
      </c>
      <c r="D103" s="853" t="s">
        <v>1401</v>
      </c>
      <c r="E103" s="853" t="s">
        <v>492</v>
      </c>
      <c r="F103" s="854">
        <v>6216.27780193206</v>
      </c>
      <c r="G103" s="856"/>
    </row>
    <row r="104" spans="2:7">
      <c r="B104" s="853">
        <v>102</v>
      </c>
      <c r="C104" s="853" t="s">
        <v>1345</v>
      </c>
      <c r="D104" s="853" t="s">
        <v>1349</v>
      </c>
      <c r="E104" s="853" t="s">
        <v>1405</v>
      </c>
      <c r="F104" s="854">
        <v>0</v>
      </c>
      <c r="G104" s="856"/>
    </row>
    <row r="105" spans="2:7">
      <c r="B105" s="853">
        <v>103</v>
      </c>
      <c r="C105" s="853" t="s">
        <v>1345</v>
      </c>
      <c r="D105" s="853" t="s">
        <v>1346</v>
      </c>
      <c r="E105" s="853" t="s">
        <v>1406</v>
      </c>
      <c r="F105" s="854">
        <v>284.241129745938</v>
      </c>
      <c r="G105" s="856"/>
    </row>
    <row r="107" spans="7:7">
      <c r="G107" s="846" t="s">
        <v>1447</v>
      </c>
    </row>
    <row r="108" spans="2:6">
      <c r="B108" s="845" t="s">
        <v>21</v>
      </c>
      <c r="C108" s="845" t="s">
        <v>1334</v>
      </c>
      <c r="D108" s="845" t="s">
        <v>1335</v>
      </c>
      <c r="E108" s="845" t="s">
        <v>605</v>
      </c>
      <c r="F108" s="845" t="s">
        <v>1445</v>
      </c>
    </row>
    <row r="109" spans="2:6">
      <c r="B109" s="846">
        <v>17</v>
      </c>
      <c r="C109" s="846" t="s">
        <v>1345</v>
      </c>
      <c r="D109" s="846" t="s">
        <v>1348</v>
      </c>
      <c r="E109" s="846" t="s">
        <v>774</v>
      </c>
      <c r="F109" s="846">
        <v>22507.6629803327</v>
      </c>
    </row>
    <row r="110" spans="2:7">
      <c r="B110" s="846">
        <v>1</v>
      </c>
      <c r="C110" s="846" t="s">
        <v>440</v>
      </c>
      <c r="D110" s="846" t="s">
        <v>1341</v>
      </c>
      <c r="E110" s="846" t="s">
        <v>1302</v>
      </c>
      <c r="F110" s="846">
        <v>14563.24662</v>
      </c>
      <c r="G110" s="851">
        <v>0.871856594471126</v>
      </c>
    </row>
    <row r="111" spans="2:6">
      <c r="B111" s="846">
        <v>23</v>
      </c>
      <c r="C111" s="846" t="s">
        <v>1345</v>
      </c>
      <c r="D111" s="846" t="s">
        <v>1351</v>
      </c>
      <c r="E111" s="846" t="s">
        <v>850</v>
      </c>
      <c r="F111" s="846">
        <v>8318.84334031734</v>
      </c>
    </row>
    <row r="112" spans="2:6">
      <c r="B112" s="846">
        <v>39</v>
      </c>
      <c r="C112" s="846" t="s">
        <v>1345</v>
      </c>
      <c r="D112" s="846" t="s">
        <v>1362</v>
      </c>
      <c r="E112" s="846" t="s">
        <v>1363</v>
      </c>
      <c r="F112" s="846">
        <v>2736.21015991741</v>
      </c>
    </row>
    <row r="113" spans="2:6">
      <c r="B113" s="846">
        <v>74</v>
      </c>
      <c r="C113" s="846" t="s">
        <v>1345</v>
      </c>
      <c r="D113" s="846" t="s">
        <v>1351</v>
      </c>
      <c r="E113" s="846" t="s">
        <v>956</v>
      </c>
      <c r="F113" s="846">
        <v>2031.286406616</v>
      </c>
    </row>
    <row r="114" spans="2:6">
      <c r="B114" s="846">
        <v>61</v>
      </c>
      <c r="C114" s="846" t="s">
        <v>1345</v>
      </c>
      <c r="D114" s="846" t="s">
        <v>1351</v>
      </c>
      <c r="E114" s="846" t="s">
        <v>1386</v>
      </c>
      <c r="F114" s="846">
        <v>1343.89061247339</v>
      </c>
    </row>
    <row r="115" spans="2:6">
      <c r="B115" s="846">
        <v>37</v>
      </c>
      <c r="C115" s="846" t="s">
        <v>1345</v>
      </c>
      <c r="D115" s="846" t="s">
        <v>1346</v>
      </c>
      <c r="E115" s="846" t="s">
        <v>931</v>
      </c>
      <c r="F115" s="846">
        <v>974.914767905954</v>
      </c>
    </row>
    <row r="116" spans="2:6">
      <c r="B116" s="846">
        <v>33</v>
      </c>
      <c r="C116" s="846" t="s">
        <v>1354</v>
      </c>
      <c r="D116" s="846" t="s">
        <v>1355</v>
      </c>
      <c r="E116" s="846" t="s">
        <v>943</v>
      </c>
      <c r="F116" s="846">
        <v>948.525018970344</v>
      </c>
    </row>
    <row r="117" spans="2:6">
      <c r="B117" s="846">
        <v>87</v>
      </c>
      <c r="C117" s="846" t="s">
        <v>546</v>
      </c>
      <c r="D117" s="846" t="s">
        <v>1401</v>
      </c>
      <c r="E117" s="846" t="s">
        <v>570</v>
      </c>
      <c r="F117" s="846">
        <v>935.952436543711</v>
      </c>
    </row>
    <row r="118" spans="2:6">
      <c r="B118" s="846">
        <v>27</v>
      </c>
      <c r="C118" s="846" t="s">
        <v>1345</v>
      </c>
      <c r="D118" s="846" t="s">
        <v>1351</v>
      </c>
      <c r="E118" s="846" t="s">
        <v>1353</v>
      </c>
      <c r="F118" s="846">
        <v>877.119010812517</v>
      </c>
    </row>
    <row r="119" spans="2:6">
      <c r="B119" s="846">
        <v>41</v>
      </c>
      <c r="C119" s="846" t="s">
        <v>1345</v>
      </c>
      <c r="D119" s="846" t="s">
        <v>1349</v>
      </c>
      <c r="E119" s="846" t="s">
        <v>1365</v>
      </c>
      <c r="F119" s="846">
        <v>854.909581305804</v>
      </c>
    </row>
    <row r="120" spans="2:6">
      <c r="B120" s="846">
        <v>15</v>
      </c>
      <c r="C120" s="846" t="s">
        <v>1345</v>
      </c>
      <c r="D120" s="846" t="s">
        <v>1346</v>
      </c>
      <c r="E120" s="846" t="s">
        <v>928</v>
      </c>
      <c r="F120" s="846">
        <v>826.826681707269</v>
      </c>
    </row>
    <row r="121" spans="2:6">
      <c r="B121" s="846">
        <v>40</v>
      </c>
      <c r="C121" s="846" t="s">
        <v>1345</v>
      </c>
      <c r="D121" s="846" t="s">
        <v>1349</v>
      </c>
      <c r="E121" s="846" t="s">
        <v>1364</v>
      </c>
      <c r="F121" s="846">
        <v>793.844611212532</v>
      </c>
    </row>
    <row r="122" spans="2:6">
      <c r="B122" s="846">
        <v>46</v>
      </c>
      <c r="C122" s="846" t="s">
        <v>1354</v>
      </c>
      <c r="D122" s="846" t="s">
        <v>1366</v>
      </c>
      <c r="E122" s="846" t="s">
        <v>1371</v>
      </c>
      <c r="F122" s="846">
        <v>646.453182914063</v>
      </c>
    </row>
    <row r="123" spans="2:6">
      <c r="B123" s="846">
        <v>56</v>
      </c>
      <c r="C123" s="846" t="s">
        <v>1345</v>
      </c>
      <c r="D123" s="846" t="s">
        <v>1351</v>
      </c>
      <c r="E123" s="846" t="s">
        <v>1381</v>
      </c>
      <c r="F123" s="846">
        <v>537.140347042517</v>
      </c>
    </row>
    <row r="124" spans="2:6">
      <c r="B124" s="846">
        <v>51</v>
      </c>
      <c r="C124" s="846" t="s">
        <v>1354</v>
      </c>
      <c r="D124" s="846" t="s">
        <v>1366</v>
      </c>
      <c r="E124" s="846" t="s">
        <v>1376</v>
      </c>
      <c r="F124" s="846">
        <v>451.880778690211</v>
      </c>
    </row>
    <row r="125" spans="2:6">
      <c r="B125" s="846">
        <v>62</v>
      </c>
      <c r="C125" s="846" t="s">
        <v>1345</v>
      </c>
      <c r="D125" s="846" t="s">
        <v>1351</v>
      </c>
      <c r="E125" s="846" t="s">
        <v>1387</v>
      </c>
      <c r="F125" s="846">
        <v>436.74284</v>
      </c>
    </row>
    <row r="126" spans="2:6">
      <c r="B126" s="846">
        <v>31</v>
      </c>
      <c r="C126" s="846" t="s">
        <v>1354</v>
      </c>
      <c r="D126" s="846" t="s">
        <v>1355</v>
      </c>
      <c r="E126" s="846" t="s">
        <v>891</v>
      </c>
      <c r="F126" s="846">
        <v>412.5840064</v>
      </c>
    </row>
    <row r="127" spans="2:6">
      <c r="B127" s="846">
        <v>78</v>
      </c>
      <c r="C127" s="846" t="s">
        <v>1397</v>
      </c>
      <c r="D127" s="846" t="s">
        <v>1398</v>
      </c>
      <c r="E127" s="846" t="s">
        <v>1085</v>
      </c>
      <c r="F127" s="846">
        <v>398.683308517752</v>
      </c>
    </row>
    <row r="128" spans="2:6">
      <c r="B128" s="846">
        <v>32</v>
      </c>
      <c r="C128" s="846" t="s">
        <v>1345</v>
      </c>
      <c r="D128" s="846" t="s">
        <v>1346</v>
      </c>
      <c r="E128" s="846" t="s">
        <v>913</v>
      </c>
      <c r="F128" s="846">
        <v>354.592</v>
      </c>
    </row>
    <row r="129" spans="2:6">
      <c r="B129" s="846">
        <v>100</v>
      </c>
      <c r="C129" s="846" t="s">
        <v>546</v>
      </c>
      <c r="D129" s="846" t="s">
        <v>1401</v>
      </c>
      <c r="E129" s="846" t="s">
        <v>1204</v>
      </c>
      <c r="F129" s="846">
        <v>318.946646814202</v>
      </c>
    </row>
    <row r="130" spans="2:6">
      <c r="B130" s="846">
        <v>103</v>
      </c>
      <c r="C130" s="846" t="s">
        <v>1345</v>
      </c>
      <c r="D130" s="846" t="s">
        <v>1346</v>
      </c>
      <c r="E130" s="846" t="s">
        <v>1406</v>
      </c>
      <c r="F130" s="846">
        <v>305.834574757621</v>
      </c>
    </row>
    <row r="131" spans="2:6">
      <c r="B131" s="846">
        <v>43</v>
      </c>
      <c r="C131" s="846" t="s">
        <v>1345</v>
      </c>
      <c r="D131" s="846" t="s">
        <v>1349</v>
      </c>
      <c r="E131" s="846" t="s">
        <v>1368</v>
      </c>
      <c r="F131" s="846">
        <v>305.324850466358</v>
      </c>
    </row>
    <row r="132" spans="2:6">
      <c r="B132" s="846">
        <v>35</v>
      </c>
      <c r="C132" s="846" t="s">
        <v>1354</v>
      </c>
      <c r="D132" s="846" t="s">
        <v>1346</v>
      </c>
      <c r="E132" s="846" t="s">
        <v>1360</v>
      </c>
      <c r="F132" s="846">
        <v>296</v>
      </c>
    </row>
    <row r="133" spans="2:6">
      <c r="B133" s="846">
        <v>68</v>
      </c>
      <c r="C133" s="846" t="s">
        <v>1345</v>
      </c>
      <c r="D133" s="846" t="s">
        <v>1346</v>
      </c>
      <c r="E133" s="846" t="s">
        <v>993</v>
      </c>
      <c r="F133" s="846">
        <v>293.749060611903</v>
      </c>
    </row>
    <row r="134" spans="2:6">
      <c r="B134" s="846">
        <v>29</v>
      </c>
      <c r="C134" s="846" t="s">
        <v>1354</v>
      </c>
      <c r="D134" s="846" t="s">
        <v>1355</v>
      </c>
      <c r="E134" s="846" t="s">
        <v>1357</v>
      </c>
      <c r="F134" s="846">
        <v>271.875988583718</v>
      </c>
    </row>
    <row r="135" spans="2:6">
      <c r="B135" s="846">
        <v>4</v>
      </c>
      <c r="C135" s="846" t="s">
        <v>1343</v>
      </c>
      <c r="D135" s="846" t="s">
        <v>1341</v>
      </c>
      <c r="E135" s="846" t="s">
        <v>697</v>
      </c>
      <c r="F135" s="846">
        <v>252.3085</v>
      </c>
    </row>
    <row r="136" spans="2:6">
      <c r="B136" s="846">
        <v>55</v>
      </c>
      <c r="C136" s="846" t="s">
        <v>1354</v>
      </c>
      <c r="D136" s="846" t="s">
        <v>1351</v>
      </c>
      <c r="E136" s="846" t="s">
        <v>1380</v>
      </c>
      <c r="F136" s="846">
        <v>232.851439406796</v>
      </c>
    </row>
    <row r="137" spans="2:6">
      <c r="B137" s="846">
        <v>64</v>
      </c>
      <c r="C137" s="846" t="s">
        <v>1345</v>
      </c>
      <c r="D137" s="846" t="s">
        <v>1351</v>
      </c>
      <c r="E137" s="846" t="s">
        <v>1389</v>
      </c>
      <c r="F137" s="846">
        <v>227.952</v>
      </c>
    </row>
    <row r="138" spans="2:6">
      <c r="B138" s="846">
        <v>88</v>
      </c>
      <c r="C138" s="846" t="s">
        <v>546</v>
      </c>
      <c r="D138" s="846" t="s">
        <v>1401</v>
      </c>
      <c r="E138" s="846" t="s">
        <v>1116</v>
      </c>
      <c r="F138" s="846">
        <v>214.957076259539</v>
      </c>
    </row>
    <row r="139" spans="2:6">
      <c r="B139" s="846">
        <v>9</v>
      </c>
      <c r="C139" s="846" t="s">
        <v>1343</v>
      </c>
      <c r="D139" s="846" t="s">
        <v>1341</v>
      </c>
      <c r="E139" s="846" t="s">
        <v>710</v>
      </c>
      <c r="F139" s="846">
        <v>214.235860878973</v>
      </c>
    </row>
    <row r="140" spans="2:6">
      <c r="B140" s="846">
        <v>52</v>
      </c>
      <c r="C140" s="846" t="s">
        <v>1354</v>
      </c>
      <c r="D140" s="846" t="s">
        <v>1349</v>
      </c>
      <c r="E140" s="846" t="s">
        <v>1377</v>
      </c>
      <c r="F140" s="846">
        <v>203.889716505081</v>
      </c>
    </row>
    <row r="141" spans="2:6">
      <c r="B141" s="846">
        <v>73</v>
      </c>
      <c r="C141" s="846" t="s">
        <v>1345</v>
      </c>
      <c r="D141" s="846" t="s">
        <v>1346</v>
      </c>
      <c r="E141" s="846" t="s">
        <v>1396</v>
      </c>
      <c r="F141" s="846">
        <v>200</v>
      </c>
    </row>
    <row r="142" spans="2:6">
      <c r="B142" s="846">
        <v>79</v>
      </c>
      <c r="C142" s="846" t="s">
        <v>1397</v>
      </c>
      <c r="D142" s="846" t="s">
        <v>1398</v>
      </c>
      <c r="E142" s="846" t="s">
        <v>1088</v>
      </c>
      <c r="F142" s="846">
        <v>191.367988088521</v>
      </c>
    </row>
    <row r="143" spans="2:6">
      <c r="B143" s="846">
        <v>42</v>
      </c>
      <c r="C143" s="846" t="s">
        <v>1345</v>
      </c>
      <c r="D143" s="846" t="s">
        <v>1366</v>
      </c>
      <c r="E143" s="846" t="s">
        <v>1367</v>
      </c>
      <c r="F143" s="846">
        <v>183.194910279815</v>
      </c>
    </row>
    <row r="144" spans="2:6">
      <c r="B144" s="846">
        <v>44</v>
      </c>
      <c r="C144" s="846" t="s">
        <v>1354</v>
      </c>
      <c r="D144" s="846" t="s">
        <v>1366</v>
      </c>
      <c r="E144" s="846" t="s">
        <v>1369</v>
      </c>
      <c r="F144" s="846">
        <v>183.194910279815</v>
      </c>
    </row>
    <row r="145" spans="2:6">
      <c r="B145" s="846">
        <v>99</v>
      </c>
      <c r="C145" s="846" t="s">
        <v>546</v>
      </c>
      <c r="D145" s="846" t="s">
        <v>1401</v>
      </c>
      <c r="E145" s="846" t="s">
        <v>1197</v>
      </c>
      <c r="F145" s="846">
        <v>165.351597122722</v>
      </c>
    </row>
    <row r="146" spans="2:6">
      <c r="B146" s="846">
        <v>76</v>
      </c>
      <c r="C146" s="846" t="s">
        <v>1345</v>
      </c>
      <c r="D146" s="846" t="s">
        <v>1351</v>
      </c>
      <c r="E146" s="846" t="s">
        <v>1025</v>
      </c>
      <c r="F146" s="846">
        <v>130.95870138</v>
      </c>
    </row>
    <row r="147" spans="2:6">
      <c r="B147" s="846">
        <v>30</v>
      </c>
      <c r="C147" s="846" t="s">
        <v>1345</v>
      </c>
      <c r="D147" s="846" t="s">
        <v>1351</v>
      </c>
      <c r="E147" s="846" t="s">
        <v>1358</v>
      </c>
      <c r="F147" s="846">
        <v>114.219364803666</v>
      </c>
    </row>
    <row r="148" spans="2:6">
      <c r="B148" s="846">
        <v>14</v>
      </c>
      <c r="C148" s="846" t="s">
        <v>1345</v>
      </c>
      <c r="D148" s="846" t="s">
        <v>1346</v>
      </c>
      <c r="E148" s="846" t="s">
        <v>880</v>
      </c>
      <c r="F148" s="846">
        <v>106.888232991454</v>
      </c>
    </row>
    <row r="149" spans="2:6">
      <c r="B149" s="846">
        <v>20</v>
      </c>
      <c r="C149" s="846" t="s">
        <v>1345</v>
      </c>
      <c r="D149" s="846" t="s">
        <v>1351</v>
      </c>
      <c r="E149" s="846" t="s">
        <v>826</v>
      </c>
      <c r="F149" s="846">
        <v>102.7197108</v>
      </c>
    </row>
    <row r="150" spans="2:6">
      <c r="B150" s="846">
        <v>34</v>
      </c>
      <c r="C150" s="846" t="s">
        <v>1354</v>
      </c>
      <c r="D150" s="846" t="s">
        <v>1355</v>
      </c>
      <c r="E150" s="846" t="s">
        <v>1359</v>
      </c>
      <c r="F150" s="846">
        <v>93.0918870446184</v>
      </c>
    </row>
    <row r="151" spans="2:6">
      <c r="B151" s="846">
        <v>8</v>
      </c>
      <c r="C151" s="846" t="s">
        <v>1343</v>
      </c>
      <c r="D151" s="846" t="s">
        <v>1341</v>
      </c>
      <c r="E151" s="846" t="s">
        <v>707</v>
      </c>
      <c r="F151" s="846">
        <v>91.8367302562013</v>
      </c>
    </row>
    <row r="152" spans="2:6">
      <c r="B152" s="846">
        <v>70</v>
      </c>
      <c r="C152" s="846" t="s">
        <v>1345</v>
      </c>
      <c r="D152" s="846" t="s">
        <v>1346</v>
      </c>
      <c r="E152" s="846" t="s">
        <v>1393</v>
      </c>
      <c r="F152" s="846">
        <v>90</v>
      </c>
    </row>
    <row r="153" spans="2:6">
      <c r="B153" s="846">
        <v>25</v>
      </c>
      <c r="C153" s="846" t="s">
        <v>1345</v>
      </c>
      <c r="D153" s="846" t="s">
        <v>1351</v>
      </c>
      <c r="E153" s="846" t="s">
        <v>869</v>
      </c>
      <c r="F153" s="846">
        <v>83.4978249914538</v>
      </c>
    </row>
    <row r="154" spans="2:6">
      <c r="B154" s="846">
        <v>38</v>
      </c>
      <c r="C154" s="846" t="s">
        <v>1345</v>
      </c>
      <c r="D154" s="846" t="s">
        <v>1346</v>
      </c>
      <c r="E154" s="846" t="s">
        <v>934</v>
      </c>
      <c r="F154" s="846">
        <v>83.4978249914538</v>
      </c>
    </row>
    <row r="155" spans="2:6">
      <c r="B155" s="846">
        <v>66</v>
      </c>
      <c r="C155" s="846" t="s">
        <v>1345</v>
      </c>
      <c r="D155" s="846" t="s">
        <v>1351</v>
      </c>
      <c r="E155" s="846" t="s">
        <v>1073</v>
      </c>
      <c r="F155" s="846">
        <v>80.8642345715654</v>
      </c>
    </row>
    <row r="156" spans="2:6">
      <c r="B156" s="846">
        <v>7</v>
      </c>
      <c r="C156" s="846" t="s">
        <v>1343</v>
      </c>
      <c r="D156" s="846" t="s">
        <v>1341</v>
      </c>
      <c r="E156" s="846" t="s">
        <v>638</v>
      </c>
      <c r="F156" s="846">
        <v>79.6893293628404</v>
      </c>
    </row>
    <row r="157" spans="2:6">
      <c r="B157" s="846">
        <v>10</v>
      </c>
      <c r="C157" s="846" t="s">
        <v>1343</v>
      </c>
      <c r="D157" s="846" t="s">
        <v>1341</v>
      </c>
      <c r="E157" s="846" t="s">
        <v>661</v>
      </c>
      <c r="F157" s="846">
        <v>74.9223726950342</v>
      </c>
    </row>
    <row r="158" spans="2:6">
      <c r="B158" s="846">
        <v>36</v>
      </c>
      <c r="C158" s="846" t="s">
        <v>1345</v>
      </c>
      <c r="D158" s="846" t="s">
        <v>1346</v>
      </c>
      <c r="E158" s="846" t="s">
        <v>1361</v>
      </c>
      <c r="F158" s="846">
        <v>74</v>
      </c>
    </row>
    <row r="159" spans="2:6">
      <c r="B159" s="846">
        <v>48</v>
      </c>
      <c r="C159" s="846" t="s">
        <v>1354</v>
      </c>
      <c r="D159" s="846" t="s">
        <v>1366</v>
      </c>
      <c r="E159" s="846" t="s">
        <v>1373</v>
      </c>
      <c r="F159" s="846">
        <v>69.1803676932717</v>
      </c>
    </row>
    <row r="160" spans="2:6">
      <c r="B160" s="846">
        <v>6</v>
      </c>
      <c r="C160" s="846" t="s">
        <v>1343</v>
      </c>
      <c r="D160" s="846" t="s">
        <v>1341</v>
      </c>
      <c r="E160" s="846" t="s">
        <v>624</v>
      </c>
      <c r="F160" s="846">
        <v>67.7024560306465</v>
      </c>
    </row>
    <row r="161" spans="2:6">
      <c r="B161" s="846">
        <v>47</v>
      </c>
      <c r="C161" s="846" t="s">
        <v>1354</v>
      </c>
      <c r="D161" s="846" t="s">
        <v>1366</v>
      </c>
      <c r="E161" s="846" t="s">
        <v>1372</v>
      </c>
      <c r="F161" s="846">
        <v>67.0165604932717</v>
      </c>
    </row>
    <row r="162" spans="2:6">
      <c r="B162" s="846">
        <v>83</v>
      </c>
      <c r="C162" s="846" t="s">
        <v>1397</v>
      </c>
      <c r="D162" s="846" t="s">
        <v>1398</v>
      </c>
      <c r="E162" s="846" t="s">
        <v>1099</v>
      </c>
      <c r="F162" s="846">
        <v>66.1406388490889</v>
      </c>
    </row>
    <row r="163" spans="2:6">
      <c r="B163" s="846">
        <v>89</v>
      </c>
      <c r="C163" s="846" t="s">
        <v>546</v>
      </c>
      <c r="D163" s="846" t="s">
        <v>1401</v>
      </c>
      <c r="E163" s="846" t="s">
        <v>1119</v>
      </c>
      <c r="F163" s="846">
        <v>66.1406388490889</v>
      </c>
    </row>
    <row r="164" spans="2:6">
      <c r="B164" s="846">
        <v>77</v>
      </c>
      <c r="C164" s="846" t="s">
        <v>1397</v>
      </c>
      <c r="D164" s="846" t="s">
        <v>1398</v>
      </c>
      <c r="E164" s="846" t="s">
        <v>1080</v>
      </c>
      <c r="F164" s="846">
        <v>63.7893293628404</v>
      </c>
    </row>
    <row r="165" spans="2:6">
      <c r="B165" s="846">
        <v>69</v>
      </c>
      <c r="C165" s="846" t="s">
        <v>1345</v>
      </c>
      <c r="D165" s="846" t="s">
        <v>1346</v>
      </c>
      <c r="E165" s="846" t="s">
        <v>1392</v>
      </c>
      <c r="F165" s="846">
        <v>60</v>
      </c>
    </row>
    <row r="166" spans="2:6">
      <c r="B166" s="846">
        <v>75</v>
      </c>
      <c r="C166" s="846" t="s">
        <v>1345</v>
      </c>
      <c r="D166" s="846" t="s">
        <v>1351</v>
      </c>
      <c r="E166" s="846" t="s">
        <v>959</v>
      </c>
      <c r="F166" s="846">
        <v>56.16</v>
      </c>
    </row>
    <row r="167" spans="2:6">
      <c r="B167" s="846">
        <v>28</v>
      </c>
      <c r="C167" s="846" t="s">
        <v>1354</v>
      </c>
      <c r="D167" s="846" t="s">
        <v>1355</v>
      </c>
      <c r="E167" s="846" t="s">
        <v>1356</v>
      </c>
      <c r="F167" s="846">
        <v>51.2138490122817</v>
      </c>
    </row>
    <row r="168" spans="2:6">
      <c r="B168" s="846">
        <v>71</v>
      </c>
      <c r="C168" s="846" t="s">
        <v>1345</v>
      </c>
      <c r="D168" s="846" t="s">
        <v>1346</v>
      </c>
      <c r="E168" s="846" t="s">
        <v>1394</v>
      </c>
      <c r="F168" s="846">
        <v>40</v>
      </c>
    </row>
    <row r="169" spans="2:6">
      <c r="B169" s="846">
        <v>92</v>
      </c>
      <c r="C169" s="846" t="s">
        <v>1345</v>
      </c>
      <c r="D169" s="846" t="s">
        <v>1401</v>
      </c>
      <c r="E169" s="846" t="s">
        <v>1147</v>
      </c>
      <c r="F169" s="846">
        <v>25.7074935904006</v>
      </c>
    </row>
    <row r="170" spans="2:6">
      <c r="B170" s="846">
        <v>2</v>
      </c>
      <c r="C170" s="846" t="s">
        <v>440</v>
      </c>
      <c r="D170" s="846" t="s">
        <v>1341</v>
      </c>
      <c r="E170" s="846" t="s">
        <v>1307</v>
      </c>
      <c r="F170" s="846">
        <v>25.23085</v>
      </c>
    </row>
    <row r="171" spans="2:6">
      <c r="B171" s="846">
        <v>49</v>
      </c>
      <c r="C171" s="846" t="s">
        <v>1354</v>
      </c>
      <c r="D171" s="846" t="s">
        <v>1366</v>
      </c>
      <c r="E171" s="846" t="s">
        <v>1374</v>
      </c>
      <c r="F171" s="846">
        <v>24.4259880373087</v>
      </c>
    </row>
    <row r="172" spans="2:6">
      <c r="B172" s="846">
        <v>50</v>
      </c>
      <c r="C172" s="846" t="s">
        <v>1354</v>
      </c>
      <c r="D172" s="846" t="s">
        <v>1366</v>
      </c>
      <c r="E172" s="846" t="s">
        <v>1375</v>
      </c>
      <c r="F172" s="846">
        <v>24.4259880373087</v>
      </c>
    </row>
    <row r="173" spans="2:6">
      <c r="B173" s="846">
        <v>67</v>
      </c>
      <c r="C173" s="846" t="s">
        <v>1345</v>
      </c>
      <c r="D173" s="846" t="s">
        <v>1351</v>
      </c>
      <c r="E173" s="846" t="s">
        <v>1391</v>
      </c>
      <c r="F173" s="846">
        <v>15.1968</v>
      </c>
    </row>
    <row r="174" spans="2:6">
      <c r="B174" s="846">
        <v>90</v>
      </c>
      <c r="C174" s="846" t="s">
        <v>546</v>
      </c>
      <c r="D174" s="846" t="s">
        <v>1401</v>
      </c>
      <c r="E174" s="846" t="s">
        <v>1128</v>
      </c>
      <c r="F174" s="846">
        <v>9.54671485274585</v>
      </c>
    </row>
    <row r="175" spans="2:6">
      <c r="B175" s="846">
        <v>93</v>
      </c>
      <c r="C175" s="846" t="s">
        <v>1345</v>
      </c>
      <c r="D175" s="846" t="s">
        <v>1401</v>
      </c>
      <c r="E175" s="846" t="s">
        <v>1150</v>
      </c>
      <c r="F175" s="846">
        <v>8.81355211078661</v>
      </c>
    </row>
    <row r="176" spans="2:6">
      <c r="B176" s="846">
        <v>85</v>
      </c>
      <c r="C176" s="846" t="s">
        <v>1397</v>
      </c>
      <c r="D176" s="846" t="s">
        <v>1398</v>
      </c>
      <c r="E176" s="846" t="s">
        <v>1108</v>
      </c>
      <c r="F176" s="846">
        <v>8.26757985613611</v>
      </c>
    </row>
    <row r="177" spans="2:6">
      <c r="B177" s="846">
        <v>3</v>
      </c>
      <c r="C177" s="846" t="s">
        <v>440</v>
      </c>
      <c r="D177" s="846" t="s">
        <v>1341</v>
      </c>
      <c r="E177" s="846" t="s">
        <v>1313</v>
      </c>
      <c r="F177" s="846">
        <v>0</v>
      </c>
    </row>
    <row r="178" spans="2:6">
      <c r="B178" s="846">
        <v>5</v>
      </c>
      <c r="C178" s="846" t="s">
        <v>1343</v>
      </c>
      <c r="D178" s="846" t="s">
        <v>1341</v>
      </c>
      <c r="E178" s="846" t="s">
        <v>660</v>
      </c>
      <c r="F178" s="846">
        <v>0</v>
      </c>
    </row>
    <row r="179" spans="2:6">
      <c r="B179" s="846">
        <v>11</v>
      </c>
      <c r="C179" s="846" t="s">
        <v>1343</v>
      </c>
      <c r="D179" s="846" t="s">
        <v>1341</v>
      </c>
      <c r="E179" s="846" t="s">
        <v>765</v>
      </c>
      <c r="F179" s="846">
        <v>0</v>
      </c>
    </row>
    <row r="180" spans="2:6">
      <c r="B180" s="846">
        <v>12</v>
      </c>
      <c r="C180" s="846" t="s">
        <v>1343</v>
      </c>
      <c r="D180" s="846" t="s">
        <v>1341</v>
      </c>
      <c r="E180" s="846" t="s">
        <v>767</v>
      </c>
      <c r="F180" s="846">
        <v>0</v>
      </c>
    </row>
    <row r="181" spans="2:6">
      <c r="B181" s="846">
        <v>13</v>
      </c>
      <c r="C181" s="846" t="s">
        <v>1343</v>
      </c>
      <c r="D181" s="846" t="s">
        <v>1341</v>
      </c>
      <c r="E181" s="846" t="s">
        <v>769</v>
      </c>
      <c r="F181" s="846">
        <v>0</v>
      </c>
    </row>
    <row r="182" spans="2:6">
      <c r="B182" s="846">
        <v>16</v>
      </c>
      <c r="C182" s="846" t="s">
        <v>1345</v>
      </c>
      <c r="D182" s="846" t="s">
        <v>1346</v>
      </c>
      <c r="E182" s="846" t="s">
        <v>904</v>
      </c>
      <c r="F182" s="846">
        <v>0</v>
      </c>
    </row>
    <row r="183" spans="2:6">
      <c r="B183" s="846">
        <v>18</v>
      </c>
      <c r="C183" s="846" t="s">
        <v>1345</v>
      </c>
      <c r="D183" s="846" t="s">
        <v>1349</v>
      </c>
      <c r="E183" s="846" t="s">
        <v>1350</v>
      </c>
      <c r="F183" s="846">
        <v>0</v>
      </c>
    </row>
    <row r="184" spans="2:6">
      <c r="B184" s="846">
        <v>19</v>
      </c>
      <c r="C184" s="846" t="s">
        <v>1345</v>
      </c>
      <c r="D184" s="846" t="s">
        <v>1346</v>
      </c>
      <c r="E184" s="846" t="s">
        <v>812</v>
      </c>
      <c r="F184" s="846">
        <v>0</v>
      </c>
    </row>
    <row r="185" spans="2:6">
      <c r="B185" s="846">
        <v>21</v>
      </c>
      <c r="C185" s="846" t="s">
        <v>1345</v>
      </c>
      <c r="D185" s="846" t="s">
        <v>1351</v>
      </c>
      <c r="E185" s="846" t="s">
        <v>840</v>
      </c>
      <c r="F185" s="846">
        <v>0</v>
      </c>
    </row>
    <row r="186" spans="2:6">
      <c r="B186" s="846">
        <v>22</v>
      </c>
      <c r="C186" s="846" t="s">
        <v>1345</v>
      </c>
      <c r="D186" s="846" t="s">
        <v>1351</v>
      </c>
      <c r="E186" s="846" t="s">
        <v>843</v>
      </c>
      <c r="F186" s="846">
        <v>0</v>
      </c>
    </row>
    <row r="187" spans="2:6">
      <c r="B187" s="846">
        <v>24</v>
      </c>
      <c r="C187" s="846" t="s">
        <v>1345</v>
      </c>
      <c r="D187" s="846" t="s">
        <v>1351</v>
      </c>
      <c r="E187" s="846" t="s">
        <v>1352</v>
      </c>
      <c r="F187" s="846">
        <v>0</v>
      </c>
    </row>
    <row r="188" spans="2:6">
      <c r="B188" s="846">
        <v>26</v>
      </c>
      <c r="C188" s="846" t="s">
        <v>1345</v>
      </c>
      <c r="D188" s="846" t="s">
        <v>1351</v>
      </c>
      <c r="E188" s="846" t="s">
        <v>874</v>
      </c>
      <c r="F188" s="846">
        <v>0</v>
      </c>
    </row>
    <row r="189" spans="2:6">
      <c r="B189" s="846">
        <v>45</v>
      </c>
      <c r="C189" s="846" t="s">
        <v>1345</v>
      </c>
      <c r="D189" s="846" t="s">
        <v>1366</v>
      </c>
      <c r="E189" s="846" t="s">
        <v>1370</v>
      </c>
      <c r="F189" s="846">
        <v>0</v>
      </c>
    </row>
    <row r="190" spans="2:6">
      <c r="B190" s="846">
        <v>53</v>
      </c>
      <c r="C190" s="846" t="s">
        <v>1345</v>
      </c>
      <c r="D190" s="846" t="s">
        <v>1351</v>
      </c>
      <c r="E190" s="846" t="s">
        <v>1378</v>
      </c>
      <c r="F190" s="846">
        <v>0</v>
      </c>
    </row>
    <row r="191" spans="2:6">
      <c r="B191" s="846">
        <v>54</v>
      </c>
      <c r="C191" s="846" t="s">
        <v>1345</v>
      </c>
      <c r="D191" s="846" t="s">
        <v>1351</v>
      </c>
      <c r="E191" s="846" t="s">
        <v>1379</v>
      </c>
      <c r="F191" s="846">
        <v>0</v>
      </c>
    </row>
    <row r="192" spans="2:6">
      <c r="B192" s="846">
        <v>57</v>
      </c>
      <c r="C192" s="846" t="s">
        <v>1345</v>
      </c>
      <c r="D192" s="846" t="s">
        <v>1351</v>
      </c>
      <c r="E192" s="846" t="s">
        <v>1382</v>
      </c>
      <c r="F192" s="846">
        <v>0</v>
      </c>
    </row>
    <row r="193" spans="2:6">
      <c r="B193" s="846">
        <v>58</v>
      </c>
      <c r="C193" s="846" t="s">
        <v>1345</v>
      </c>
      <c r="D193" s="846" t="s">
        <v>1351</v>
      </c>
      <c r="E193" s="846" t="s">
        <v>1383</v>
      </c>
      <c r="F193" s="846">
        <v>0</v>
      </c>
    </row>
    <row r="194" spans="2:6">
      <c r="B194" s="846">
        <v>59</v>
      </c>
      <c r="C194" s="846" t="s">
        <v>1345</v>
      </c>
      <c r="D194" s="846" t="s">
        <v>1351</v>
      </c>
      <c r="E194" s="846" t="s">
        <v>1384</v>
      </c>
      <c r="F194" s="846">
        <v>0</v>
      </c>
    </row>
    <row r="195" spans="2:6">
      <c r="B195" s="846">
        <v>60</v>
      </c>
      <c r="C195" s="846" t="s">
        <v>1354</v>
      </c>
      <c r="D195" s="846" t="s">
        <v>1351</v>
      </c>
      <c r="E195" s="846" t="s">
        <v>1385</v>
      </c>
      <c r="F195" s="846">
        <v>0</v>
      </c>
    </row>
    <row r="196" spans="2:6">
      <c r="B196" s="846">
        <v>63</v>
      </c>
      <c r="C196" s="846" t="s">
        <v>1345</v>
      </c>
      <c r="D196" s="846" t="s">
        <v>1346</v>
      </c>
      <c r="E196" s="846" t="s">
        <v>1388</v>
      </c>
      <c r="F196" s="846">
        <v>0</v>
      </c>
    </row>
    <row r="197" spans="2:6">
      <c r="B197" s="846">
        <v>65</v>
      </c>
      <c r="C197" s="846" t="s">
        <v>1354</v>
      </c>
      <c r="D197" s="846" t="s">
        <v>1351</v>
      </c>
      <c r="E197" s="846" t="s">
        <v>1390</v>
      </c>
      <c r="F197" s="846">
        <v>0</v>
      </c>
    </row>
    <row r="198" spans="2:6">
      <c r="B198" s="846">
        <v>72</v>
      </c>
      <c r="C198" s="846" t="s">
        <v>1345</v>
      </c>
      <c r="D198" s="846" t="s">
        <v>1346</v>
      </c>
      <c r="E198" s="846" t="s">
        <v>1395</v>
      </c>
      <c r="F198" s="846">
        <v>0</v>
      </c>
    </row>
    <row r="199" spans="2:6">
      <c r="B199" s="846">
        <v>80</v>
      </c>
      <c r="C199" s="846" t="s">
        <v>1397</v>
      </c>
      <c r="D199" s="846" t="s">
        <v>1398</v>
      </c>
      <c r="E199" s="846" t="s">
        <v>1399</v>
      </c>
      <c r="F199" s="846">
        <v>0</v>
      </c>
    </row>
    <row r="200" spans="2:6">
      <c r="B200" s="846">
        <v>81</v>
      </c>
      <c r="C200" s="846" t="s">
        <v>1397</v>
      </c>
      <c r="D200" s="846" t="s">
        <v>1398</v>
      </c>
      <c r="E200" s="846" t="s">
        <v>1400</v>
      </c>
      <c r="F200" s="846">
        <v>0</v>
      </c>
    </row>
    <row r="201" spans="2:6">
      <c r="B201" s="846">
        <v>82</v>
      </c>
      <c r="C201" s="846" t="s">
        <v>1397</v>
      </c>
      <c r="D201" s="846" t="s">
        <v>1398</v>
      </c>
      <c r="E201" s="846" t="s">
        <v>1095</v>
      </c>
      <c r="F201" s="846">
        <v>0</v>
      </c>
    </row>
    <row r="202" spans="2:6">
      <c r="B202" s="846">
        <v>84</v>
      </c>
      <c r="C202" s="846" t="s">
        <v>1397</v>
      </c>
      <c r="D202" s="846" t="s">
        <v>1398</v>
      </c>
      <c r="E202" s="846" t="s">
        <v>1104</v>
      </c>
      <c r="F202" s="846">
        <v>0</v>
      </c>
    </row>
    <row r="203" spans="2:6">
      <c r="B203" s="846">
        <v>86</v>
      </c>
      <c r="C203" s="846" t="s">
        <v>1397</v>
      </c>
      <c r="D203" s="846" t="s">
        <v>1398</v>
      </c>
      <c r="E203" s="846" t="s">
        <v>1112</v>
      </c>
      <c r="F203" s="846">
        <v>0</v>
      </c>
    </row>
    <row r="204" spans="2:6">
      <c r="B204" s="846">
        <v>91</v>
      </c>
      <c r="C204" s="846" t="s">
        <v>1345</v>
      </c>
      <c r="D204" s="846" t="s">
        <v>1401</v>
      </c>
      <c r="E204" s="846" t="s">
        <v>1142</v>
      </c>
      <c r="F204" s="846">
        <v>0</v>
      </c>
    </row>
    <row r="205" spans="2:6">
      <c r="B205" s="846">
        <v>94</v>
      </c>
      <c r="C205" s="846" t="s">
        <v>1345</v>
      </c>
      <c r="D205" s="846" t="s">
        <v>1401</v>
      </c>
      <c r="E205" s="846" t="s">
        <v>1133</v>
      </c>
      <c r="F205" s="846">
        <v>0</v>
      </c>
    </row>
    <row r="206" spans="2:6">
      <c r="B206" s="846">
        <v>95</v>
      </c>
      <c r="C206" s="846" t="s">
        <v>1402</v>
      </c>
      <c r="D206" s="846" t="s">
        <v>1403</v>
      </c>
      <c r="E206" s="846" t="s">
        <v>1155</v>
      </c>
      <c r="F206" s="846">
        <v>0</v>
      </c>
    </row>
    <row r="207" spans="2:6">
      <c r="B207" s="846">
        <v>96</v>
      </c>
      <c r="C207" s="846" t="s">
        <v>1402</v>
      </c>
      <c r="D207" s="846" t="s">
        <v>1403</v>
      </c>
      <c r="E207" s="846" t="s">
        <v>1169</v>
      </c>
      <c r="F207" s="846">
        <v>0</v>
      </c>
    </row>
    <row r="208" spans="2:6">
      <c r="B208" s="846">
        <v>97</v>
      </c>
      <c r="C208" s="846" t="s">
        <v>1402</v>
      </c>
      <c r="D208" s="846" t="s">
        <v>1403</v>
      </c>
      <c r="E208" s="846" t="s">
        <v>1185</v>
      </c>
      <c r="F208" s="846">
        <v>0</v>
      </c>
    </row>
    <row r="209" spans="2:6">
      <c r="B209" s="846">
        <v>98</v>
      </c>
      <c r="C209" s="846" t="s">
        <v>1402</v>
      </c>
      <c r="D209" s="846" t="s">
        <v>1403</v>
      </c>
      <c r="E209" s="846" t="s">
        <v>1192</v>
      </c>
      <c r="F209" s="846">
        <v>0</v>
      </c>
    </row>
    <row r="210" spans="2:6">
      <c r="B210" s="846">
        <v>101</v>
      </c>
      <c r="C210" s="846" t="s">
        <v>546</v>
      </c>
      <c r="D210" s="846" t="s">
        <v>1401</v>
      </c>
      <c r="E210" s="846" t="s">
        <v>492</v>
      </c>
      <c r="F210" s="846">
        <v>0</v>
      </c>
    </row>
    <row r="211" spans="2:6">
      <c r="B211" s="846">
        <v>102</v>
      </c>
      <c r="C211" s="846" t="s">
        <v>1345</v>
      </c>
      <c r="D211" s="846" t="s">
        <v>1349</v>
      </c>
      <c r="E211" s="846" t="s">
        <v>1405</v>
      </c>
      <c r="F211" s="846">
        <v>0</v>
      </c>
    </row>
  </sheetData>
  <autoFilter ref="B108:M211">
    <sortState ref="B108:M211">
      <sortCondition ref="F108" descending="1"/>
    </sortState>
  </autoFilter>
  <conditionalFormatting sqref="E21">
    <cfRule type="duplicateValues" dxfId="86" priority="5"/>
  </conditionalFormatting>
  <conditionalFormatting sqref="E88">
    <cfRule type="duplicateValues" dxfId="87" priority="1"/>
  </conditionalFormatting>
  <conditionalFormatting sqref="E23:E25">
    <cfRule type="duplicateValues" dxfId="88" priority="4"/>
  </conditionalFormatting>
  <conditionalFormatting sqref="E84:E85">
    <cfRule type="duplicateValues" dxfId="89" priority="3"/>
  </conditionalFormatting>
  <conditionalFormatting sqref="E86:E87">
    <cfRule type="duplicateValues" dxfId="90" priority="2"/>
  </conditionalFormatting>
  <pageMargins left="0.699305555555556" right="0.699305555555556" top="0.75" bottom="0.75" header="0.3" footer="0.3"/>
  <headerFooter/>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outlinePr summaryBelow="0" summaryRight="0"/>
  </sheetPr>
  <dimension ref="A1:BM246"/>
  <sheetViews>
    <sheetView workbookViewId="0">
      <pane xSplit="4" ySplit="8" topLeftCell="E212" activePane="bottomRight" state="frozen"/>
      <selection/>
      <selection pane="topRight"/>
      <selection pane="bottomLeft"/>
      <selection pane="bottomRight" activeCell="A1" sqref="A1"/>
    </sheetView>
  </sheetViews>
  <sheetFormatPr defaultColWidth="9" defaultRowHeight="15.75"/>
  <cols>
    <col min="1" max="1" width="2.1" style="583" customWidth="1"/>
    <col min="2" max="2" width="18.6" style="584" customWidth="1"/>
    <col min="3" max="3" width="4.5" style="584" customWidth="1"/>
    <col min="4" max="4" width="19.9" style="575" customWidth="1"/>
    <col min="5" max="5" width="19.4" style="585" customWidth="1"/>
    <col min="6" max="6" width="7" style="585" customWidth="1"/>
    <col min="7" max="7" width="5.6" style="585" customWidth="1"/>
    <col min="8" max="8" width="6" style="585" customWidth="1"/>
    <col min="9" max="9" width="8.9" style="586" customWidth="1"/>
    <col min="10" max="10" width="9.1" style="587" customWidth="1"/>
    <col min="11" max="11" width="8.6" style="587" customWidth="1"/>
    <col min="12" max="13" width="8.9" style="587" customWidth="1"/>
    <col min="14" max="14" width="15.1" style="587" customWidth="1"/>
    <col min="15" max="15" width="9.6" style="586" customWidth="1"/>
    <col min="16" max="16" width="15.1" style="586" customWidth="1"/>
    <col min="17" max="22" width="10.1" style="587" customWidth="1"/>
    <col min="23" max="23" width="18.6" style="587" customWidth="1"/>
    <col min="24" max="24" width="14.5" style="587" customWidth="1"/>
    <col min="25" max="25" width="17.6" style="587" customWidth="1"/>
    <col min="26" max="26" width="14.5" style="587" customWidth="1"/>
    <col min="27" max="27" width="16.1" style="588" customWidth="1"/>
    <col min="28" max="65" width="9" style="589"/>
    <col min="66" max="16384" width="9" style="585"/>
  </cols>
  <sheetData>
    <row r="1" ht="16.5" customHeight="1" spans="17:19">
      <c r="Q1" s="657" t="s">
        <v>50</v>
      </c>
      <c r="R1" s="657" t="s">
        <v>52</v>
      </c>
      <c r="S1" s="657" t="s">
        <v>53</v>
      </c>
    </row>
    <row r="2" ht="9.9" customHeight="1" spans="2:29">
      <c r="B2" s="1823" t="s">
        <v>1448</v>
      </c>
      <c r="C2" s="590"/>
      <c r="D2" s="590"/>
      <c r="E2" s="590"/>
      <c r="F2" s="590"/>
      <c r="G2" s="590"/>
      <c r="H2" s="590"/>
      <c r="I2" s="590"/>
      <c r="J2" s="590"/>
      <c r="K2" s="590"/>
      <c r="L2" s="590"/>
      <c r="M2" s="590"/>
      <c r="N2" s="617" t="s">
        <v>1449</v>
      </c>
      <c r="O2" s="618">
        <v>237994.471602866</v>
      </c>
      <c r="P2" s="619" t="s">
        <v>1450</v>
      </c>
      <c r="Q2" s="658">
        <v>237994.471602866</v>
      </c>
      <c r="R2" s="658">
        <v>0</v>
      </c>
      <c r="S2" s="658">
        <v>0</v>
      </c>
      <c r="T2" s="659"/>
      <c r="U2" s="660"/>
      <c r="V2" s="659"/>
      <c r="W2" s="659"/>
      <c r="X2" s="659"/>
      <c r="Y2" s="659"/>
      <c r="Z2" s="659"/>
      <c r="AA2" s="687"/>
      <c r="AB2" s="688"/>
      <c r="AC2" s="689"/>
    </row>
    <row r="3" ht="9.9" customHeight="1" spans="2:27">
      <c r="B3" s="590"/>
      <c r="C3" s="590"/>
      <c r="D3" s="590"/>
      <c r="E3" s="590"/>
      <c r="F3" s="590"/>
      <c r="G3" s="590"/>
      <c r="H3" s="590"/>
      <c r="I3" s="590"/>
      <c r="J3" s="590"/>
      <c r="K3" s="590"/>
      <c r="L3" s="590"/>
      <c r="M3" s="590"/>
      <c r="N3" s="620"/>
      <c r="O3" s="621"/>
      <c r="P3" s="622"/>
      <c r="Q3" s="661">
        <v>1</v>
      </c>
      <c r="R3" s="661">
        <v>0</v>
      </c>
      <c r="S3" s="661">
        <v>0</v>
      </c>
      <c r="T3" s="662"/>
      <c r="U3" s="660"/>
      <c r="V3" s="662"/>
      <c r="W3" s="662"/>
      <c r="X3" s="662"/>
      <c r="Y3" s="662"/>
      <c r="Z3" s="662"/>
      <c r="AA3" s="687"/>
    </row>
    <row r="4" ht="9.9" customHeight="1" spans="2:27">
      <c r="B4" s="590"/>
      <c r="C4" s="590"/>
      <c r="D4" s="590"/>
      <c r="E4" s="590"/>
      <c r="F4" s="590"/>
      <c r="G4" s="590"/>
      <c r="H4" s="590"/>
      <c r="I4" s="590"/>
      <c r="J4" s="590"/>
      <c r="K4" s="590"/>
      <c r="L4" s="590"/>
      <c r="M4" s="590"/>
      <c r="N4" s="620" t="s">
        <v>1451</v>
      </c>
      <c r="O4" s="621">
        <v>237994.471602866</v>
      </c>
      <c r="P4" s="622" t="s">
        <v>1452</v>
      </c>
      <c r="Q4" s="658">
        <v>237994.471602866</v>
      </c>
      <c r="R4" s="658">
        <v>0</v>
      </c>
      <c r="S4" s="658">
        <v>0</v>
      </c>
      <c r="T4" s="659"/>
      <c r="U4" s="660"/>
      <c r="V4" s="659"/>
      <c r="W4" s="659"/>
      <c r="X4" s="659"/>
      <c r="Y4" s="659"/>
      <c r="Z4" s="659"/>
      <c r="AA4" s="687"/>
    </row>
    <row r="5" ht="9.9" customHeight="1" spans="2:27">
      <c r="B5" s="590"/>
      <c r="C5" s="590"/>
      <c r="D5" s="590"/>
      <c r="E5" s="590"/>
      <c r="F5" s="590"/>
      <c r="G5" s="590"/>
      <c r="H5" s="590"/>
      <c r="I5" s="590"/>
      <c r="J5" s="590"/>
      <c r="K5" s="590"/>
      <c r="L5" s="590"/>
      <c r="M5" s="590"/>
      <c r="N5" s="620"/>
      <c r="O5" s="621"/>
      <c r="P5" s="622"/>
      <c r="Q5" s="661">
        <v>1</v>
      </c>
      <c r="R5" s="661">
        <v>0</v>
      </c>
      <c r="S5" s="661">
        <v>0</v>
      </c>
      <c r="T5" s="662"/>
      <c r="U5" s="660"/>
      <c r="V5" s="662"/>
      <c r="W5" s="662"/>
      <c r="X5" s="662"/>
      <c r="Y5" s="662"/>
      <c r="Z5" s="662"/>
      <c r="AA5" s="687"/>
    </row>
    <row r="6" s="575" customFormat="1" ht="17.25" customHeight="1" spans="1:65">
      <c r="A6" s="591"/>
      <c r="B6" s="403" t="s">
        <v>21</v>
      </c>
      <c r="C6" s="403"/>
      <c r="D6" s="467" t="s">
        <v>1453</v>
      </c>
      <c r="E6" s="467" t="s">
        <v>605</v>
      </c>
      <c r="F6" s="467" t="s">
        <v>606</v>
      </c>
      <c r="G6" s="467" t="s">
        <v>607</v>
      </c>
      <c r="H6" s="467" t="s">
        <v>608</v>
      </c>
      <c r="I6" s="467" t="s">
        <v>609</v>
      </c>
      <c r="J6" s="467" t="s">
        <v>1454</v>
      </c>
      <c r="K6" s="467" t="s">
        <v>611</v>
      </c>
      <c r="L6" s="467" t="s">
        <v>612</v>
      </c>
      <c r="M6" s="467" t="s">
        <v>1455</v>
      </c>
      <c r="N6" s="623" t="s">
        <v>1456</v>
      </c>
      <c r="O6" s="100" t="s">
        <v>1457</v>
      </c>
      <c r="P6" s="624" t="s">
        <v>1458</v>
      </c>
      <c r="Q6" s="663" t="s">
        <v>1459</v>
      </c>
      <c r="R6" s="663"/>
      <c r="S6" s="663"/>
      <c r="T6" s="663"/>
      <c r="U6" s="663"/>
      <c r="V6" s="663"/>
      <c r="W6" s="663" t="s">
        <v>1460</v>
      </c>
      <c r="X6" s="663"/>
      <c r="Y6" s="663"/>
      <c r="Z6" s="663"/>
      <c r="AA6" s="690" t="s">
        <v>1300</v>
      </c>
      <c r="AB6" s="576"/>
      <c r="AC6" s="576"/>
      <c r="AD6" s="576"/>
      <c r="AE6" s="576"/>
      <c r="AF6" s="576"/>
      <c r="AG6" s="576"/>
      <c r="AH6" s="576"/>
      <c r="AI6" s="576"/>
      <c r="AJ6" s="576"/>
      <c r="AK6" s="576"/>
      <c r="AL6" s="576"/>
      <c r="AM6" s="576"/>
      <c r="AN6" s="576"/>
      <c r="AO6" s="576"/>
      <c r="AP6" s="576"/>
      <c r="AQ6" s="576"/>
      <c r="AR6" s="576"/>
      <c r="AS6" s="576"/>
      <c r="AT6" s="576"/>
      <c r="AU6" s="576"/>
      <c r="AV6" s="576"/>
      <c r="AW6" s="576"/>
      <c r="AX6" s="576"/>
      <c r="AY6" s="576"/>
      <c r="AZ6" s="576"/>
      <c r="BA6" s="576"/>
      <c r="BB6" s="576"/>
      <c r="BC6" s="576"/>
      <c r="BD6" s="576"/>
      <c r="BE6" s="576"/>
      <c r="BF6" s="576"/>
      <c r="BG6" s="576"/>
      <c r="BH6" s="576"/>
      <c r="BI6" s="576"/>
      <c r="BJ6" s="576"/>
      <c r="BK6" s="576"/>
      <c r="BL6" s="576"/>
      <c r="BM6" s="576"/>
    </row>
    <row r="7" s="575" customFormat="1" ht="17.25" customHeight="1" spans="1:65">
      <c r="A7" s="591"/>
      <c r="B7" s="403"/>
      <c r="C7" s="403"/>
      <c r="D7" s="467"/>
      <c r="E7" s="467"/>
      <c r="F7" s="467"/>
      <c r="G7" s="467"/>
      <c r="H7" s="467"/>
      <c r="I7" s="467"/>
      <c r="J7" s="467"/>
      <c r="K7" s="467"/>
      <c r="L7" s="467"/>
      <c r="M7" s="467"/>
      <c r="N7" s="625"/>
      <c r="O7" s="626"/>
      <c r="P7" s="624"/>
      <c r="Q7" s="663" t="s">
        <v>1461</v>
      </c>
      <c r="R7" s="663"/>
      <c r="S7" s="663" t="s">
        <v>1462</v>
      </c>
      <c r="T7" s="663"/>
      <c r="U7" s="663" t="s">
        <v>1463</v>
      </c>
      <c r="V7" s="663"/>
      <c r="W7" s="663"/>
      <c r="X7" s="663"/>
      <c r="Y7" s="663"/>
      <c r="Z7" s="663"/>
      <c r="AA7" s="691"/>
      <c r="AB7" s="576"/>
      <c r="AC7" s="576"/>
      <c r="AD7" s="576"/>
      <c r="AE7" s="576"/>
      <c r="AF7" s="576"/>
      <c r="AG7" s="576"/>
      <c r="AH7" s="576"/>
      <c r="AI7" s="576"/>
      <c r="AJ7" s="576"/>
      <c r="AK7" s="576"/>
      <c r="AL7" s="576"/>
      <c r="AM7" s="576"/>
      <c r="AN7" s="576"/>
      <c r="AO7" s="576"/>
      <c r="AP7" s="576"/>
      <c r="AQ7" s="576"/>
      <c r="AR7" s="576"/>
      <c r="AS7" s="576"/>
      <c r="AT7" s="576"/>
      <c r="AU7" s="576"/>
      <c r="AV7" s="576"/>
      <c r="AW7" s="576"/>
      <c r="AX7" s="576"/>
      <c r="AY7" s="576"/>
      <c r="AZ7" s="576"/>
      <c r="BA7" s="576"/>
      <c r="BB7" s="576"/>
      <c r="BC7" s="576"/>
      <c r="BD7" s="576"/>
      <c r="BE7" s="576"/>
      <c r="BF7" s="576"/>
      <c r="BG7" s="576"/>
      <c r="BH7" s="576"/>
      <c r="BI7" s="576"/>
      <c r="BJ7" s="576"/>
      <c r="BK7" s="576"/>
      <c r="BL7" s="576"/>
      <c r="BM7" s="576"/>
    </row>
    <row r="8" s="575" customFormat="1" ht="17.25" customHeight="1" spans="1:65">
      <c r="A8" s="591"/>
      <c r="B8" s="403"/>
      <c r="C8" s="403"/>
      <c r="D8" s="467"/>
      <c r="E8" s="467"/>
      <c r="F8" s="467"/>
      <c r="G8" s="467"/>
      <c r="H8" s="467"/>
      <c r="I8" s="467"/>
      <c r="J8" s="467"/>
      <c r="K8" s="467"/>
      <c r="L8" s="467"/>
      <c r="M8" s="467"/>
      <c r="N8" s="627"/>
      <c r="O8" s="467"/>
      <c r="P8" s="628"/>
      <c r="Q8" s="663" t="s">
        <v>501</v>
      </c>
      <c r="R8" s="663" t="s">
        <v>284</v>
      </c>
      <c r="S8" s="663" t="s">
        <v>501</v>
      </c>
      <c r="T8" s="663" t="s">
        <v>284</v>
      </c>
      <c r="U8" s="663" t="s">
        <v>501</v>
      </c>
      <c r="V8" s="663" t="s">
        <v>284</v>
      </c>
      <c r="W8" s="663" t="s">
        <v>1464</v>
      </c>
      <c r="X8" s="663" t="s">
        <v>1465</v>
      </c>
      <c r="Y8" s="663" t="s">
        <v>1466</v>
      </c>
      <c r="Z8" s="663" t="s">
        <v>1467</v>
      </c>
      <c r="AA8" s="692"/>
      <c r="AB8" s="576"/>
      <c r="AC8" s="576"/>
      <c r="AD8" s="576"/>
      <c r="AE8" s="576"/>
      <c r="AF8" s="576"/>
      <c r="AG8" s="576"/>
      <c r="AH8" s="576"/>
      <c r="AI8" s="576"/>
      <c r="AJ8" s="576"/>
      <c r="AK8" s="576"/>
      <c r="AL8" s="576"/>
      <c r="AM8" s="576"/>
      <c r="AN8" s="576"/>
      <c r="AO8" s="576"/>
      <c r="AP8" s="576"/>
      <c r="AQ8" s="576"/>
      <c r="AR8" s="576"/>
      <c r="AS8" s="576"/>
      <c r="AT8" s="576"/>
      <c r="AU8" s="576"/>
      <c r="AV8" s="576"/>
      <c r="AW8" s="576"/>
      <c r="AX8" s="576"/>
      <c r="AY8" s="576"/>
      <c r="AZ8" s="576"/>
      <c r="BA8" s="576"/>
      <c r="BB8" s="576"/>
      <c r="BC8" s="576"/>
      <c r="BD8" s="576"/>
      <c r="BE8" s="576"/>
      <c r="BF8" s="576"/>
      <c r="BG8" s="576"/>
      <c r="BH8" s="576"/>
      <c r="BI8" s="576"/>
      <c r="BJ8" s="576"/>
      <c r="BK8" s="576"/>
      <c r="BL8" s="576"/>
      <c r="BM8" s="576"/>
    </row>
    <row r="9" s="576" customFormat="1" ht="16.35" customHeight="1" spans="1:27">
      <c r="A9" s="591"/>
      <c r="B9" s="592">
        <v>5001.01</v>
      </c>
      <c r="C9" s="593" t="s">
        <v>510</v>
      </c>
      <c r="D9" s="468" t="s">
        <v>489</v>
      </c>
      <c r="E9" s="468"/>
      <c r="F9" s="594"/>
      <c r="G9" s="594"/>
      <c r="H9" s="594"/>
      <c r="I9" s="594"/>
      <c r="J9" s="594"/>
      <c r="K9" s="594"/>
      <c r="L9" s="629">
        <v>39434.8754640412</v>
      </c>
      <c r="M9" s="629">
        <v>4185.53595881596</v>
      </c>
      <c r="N9" s="629">
        <v>43620.4114228572</v>
      </c>
      <c r="O9" s="630"/>
      <c r="P9" s="631"/>
      <c r="Q9" s="664">
        <v>39434.8754640412</v>
      </c>
      <c r="R9" s="664">
        <v>4185.53595881596</v>
      </c>
      <c r="S9" s="664">
        <v>0</v>
      </c>
      <c r="T9" s="664">
        <v>0</v>
      </c>
      <c r="U9" s="664">
        <v>0</v>
      </c>
      <c r="V9" s="664">
        <v>0</v>
      </c>
      <c r="W9" s="629">
        <v>43620.4114228572</v>
      </c>
      <c r="X9" s="629">
        <v>0</v>
      </c>
      <c r="Y9" s="629">
        <v>0</v>
      </c>
      <c r="Z9" s="629">
        <v>0</v>
      </c>
      <c r="AA9" s="693"/>
    </row>
    <row r="10" s="576" customFormat="1" ht="15.9" customHeight="1" outlineLevel="1" spans="1:27">
      <c r="A10" s="591"/>
      <c r="B10" s="1824" t="s">
        <v>512</v>
      </c>
      <c r="C10" s="596">
        <v>1</v>
      </c>
      <c r="D10" s="1818" t="s">
        <v>1301</v>
      </c>
      <c r="E10" s="597"/>
      <c r="F10" s="185"/>
      <c r="G10" s="185"/>
      <c r="H10" s="185"/>
      <c r="I10" s="185"/>
      <c r="J10" s="185"/>
      <c r="K10" s="185"/>
      <c r="L10" s="632">
        <v>39434.8754640412</v>
      </c>
      <c r="M10" s="632">
        <v>4185.53595881596</v>
      </c>
      <c r="N10" s="632">
        <v>43620.4114228572</v>
      </c>
      <c r="O10" s="632"/>
      <c r="P10" s="633" t="s">
        <v>1468</v>
      </c>
      <c r="Q10" s="665">
        <v>39434.8754640412</v>
      </c>
      <c r="R10" s="665">
        <v>4185.53595881596</v>
      </c>
      <c r="S10" s="665"/>
      <c r="T10" s="665"/>
      <c r="U10" s="665"/>
      <c r="V10" s="665"/>
      <c r="W10" s="665">
        <v>43620.4114228572</v>
      </c>
      <c r="X10" s="665">
        <v>0</v>
      </c>
      <c r="Y10" s="665">
        <v>0</v>
      </c>
      <c r="Z10" s="665">
        <v>0</v>
      </c>
      <c r="AA10" s="694"/>
    </row>
    <row r="11" s="577" customFormat="1" ht="16.35" customHeight="1" outlineLevel="2" spans="1:65">
      <c r="A11" s="591"/>
      <c r="B11" s="598" t="s">
        <v>618</v>
      </c>
      <c r="C11" s="599" t="s">
        <v>619</v>
      </c>
      <c r="D11" s="598" t="s">
        <v>513</v>
      </c>
      <c r="E11" s="598" t="s">
        <v>1302</v>
      </c>
      <c r="F11" s="600"/>
      <c r="G11" s="601"/>
      <c r="H11" s="601"/>
      <c r="I11" s="601"/>
      <c r="J11" s="634"/>
      <c r="K11" s="634"/>
      <c r="L11" s="601">
        <v>39434.8754640412</v>
      </c>
      <c r="M11" s="634">
        <v>4185.53595881596</v>
      </c>
      <c r="N11" s="635">
        <v>43620.4114228572</v>
      </c>
      <c r="O11" s="635" t="s">
        <v>1469</v>
      </c>
      <c r="P11" s="636"/>
      <c r="Q11" s="666">
        <v>39434.8754640412</v>
      </c>
      <c r="R11" s="666">
        <v>4185.53595881596</v>
      </c>
      <c r="S11" s="635"/>
      <c r="T11" s="635"/>
      <c r="U11" s="635"/>
      <c r="V11" s="635"/>
      <c r="W11" s="635">
        <v>43620.4114228572</v>
      </c>
      <c r="X11" s="635">
        <v>0</v>
      </c>
      <c r="Y11" s="635">
        <v>0</v>
      </c>
      <c r="Z11" s="635">
        <v>0</v>
      </c>
      <c r="AA11" s="695"/>
      <c r="AB11" s="576"/>
      <c r="AC11" s="576"/>
      <c r="AD11" s="576"/>
      <c r="AE11" s="576"/>
      <c r="AF11" s="576"/>
      <c r="AG11" s="576"/>
      <c r="AH11" s="576"/>
      <c r="AI11" s="576"/>
      <c r="AJ11" s="576"/>
      <c r="AK11" s="576"/>
      <c r="AL11" s="576"/>
      <c r="AM11" s="576"/>
      <c r="AN11" s="576"/>
      <c r="AO11" s="576"/>
      <c r="AP11" s="576"/>
      <c r="AQ11" s="576"/>
      <c r="AR11" s="576"/>
      <c r="AS11" s="576"/>
      <c r="AT11" s="576"/>
      <c r="AU11" s="576"/>
      <c r="AV11" s="576"/>
      <c r="AW11" s="576"/>
      <c r="AX11" s="576"/>
      <c r="AY11" s="576"/>
      <c r="AZ11" s="576"/>
      <c r="BA11" s="576"/>
      <c r="BB11" s="576"/>
      <c r="BC11" s="576"/>
      <c r="BD11" s="576"/>
      <c r="BE11" s="576"/>
      <c r="BF11" s="576"/>
      <c r="BG11" s="576"/>
      <c r="BH11" s="576"/>
      <c r="BI11" s="576"/>
      <c r="BJ11" s="576"/>
      <c r="BK11" s="576"/>
      <c r="BL11" s="576"/>
      <c r="BM11" s="576"/>
    </row>
    <row r="12" s="577" customFormat="1" ht="16.35" customHeight="1" outlineLevel="3" spans="1:65">
      <c r="A12" s="591"/>
      <c r="B12" s="598" t="s">
        <v>621</v>
      </c>
      <c r="C12" s="599" t="s">
        <v>622</v>
      </c>
      <c r="D12" s="598" t="s">
        <v>334</v>
      </c>
      <c r="E12" s="598"/>
      <c r="F12" s="600"/>
      <c r="G12" s="601"/>
      <c r="H12" s="601"/>
      <c r="I12" s="601"/>
      <c r="J12" s="634"/>
      <c r="K12" s="637"/>
      <c r="L12" s="601"/>
      <c r="M12" s="634"/>
      <c r="N12" s="635"/>
      <c r="O12" s="635"/>
      <c r="P12" s="636"/>
      <c r="Q12" s="667"/>
      <c r="R12" s="668"/>
      <c r="S12" s="669"/>
      <c r="T12" s="670"/>
      <c r="U12" s="671"/>
      <c r="V12" s="671"/>
      <c r="W12" s="667"/>
      <c r="X12" s="669"/>
      <c r="Y12" s="669"/>
      <c r="Z12" s="671"/>
      <c r="AA12" s="695"/>
      <c r="AB12" s="576"/>
      <c r="AC12" s="576"/>
      <c r="AD12" s="576"/>
      <c r="AE12" s="576"/>
      <c r="AF12" s="576"/>
      <c r="AG12" s="576"/>
      <c r="AH12" s="576"/>
      <c r="AI12" s="576"/>
      <c r="AJ12" s="576"/>
      <c r="AK12" s="576"/>
      <c r="AL12" s="576"/>
      <c r="AM12" s="576"/>
      <c r="AN12" s="576"/>
      <c r="AO12" s="576"/>
      <c r="AP12" s="576"/>
      <c r="AQ12" s="576"/>
      <c r="AR12" s="576"/>
      <c r="AS12" s="576"/>
      <c r="AT12" s="576"/>
      <c r="AU12" s="576"/>
      <c r="AV12" s="576"/>
      <c r="AW12" s="576"/>
      <c r="AX12" s="576"/>
      <c r="AY12" s="576"/>
      <c r="AZ12" s="576"/>
      <c r="BA12" s="576"/>
      <c r="BB12" s="576"/>
      <c r="BC12" s="576"/>
      <c r="BD12" s="576"/>
      <c r="BE12" s="576"/>
      <c r="BF12" s="576"/>
      <c r="BG12" s="576"/>
      <c r="BH12" s="576"/>
      <c r="BI12" s="576"/>
      <c r="BJ12" s="576"/>
      <c r="BK12" s="576"/>
      <c r="BL12" s="576"/>
      <c r="BM12" s="576"/>
    </row>
    <row r="13" s="577" customFormat="1" ht="16.35" customHeight="1" outlineLevel="3" spans="1:65">
      <c r="A13" s="591"/>
      <c r="B13" s="598" t="s">
        <v>626</v>
      </c>
      <c r="C13" s="599" t="s">
        <v>622</v>
      </c>
      <c r="D13" s="598" t="s">
        <v>1470</v>
      </c>
      <c r="E13" s="598"/>
      <c r="F13" s="600"/>
      <c r="G13" s="601"/>
      <c r="H13" s="601"/>
      <c r="I13" s="601"/>
      <c r="J13" s="634"/>
      <c r="K13" s="638"/>
      <c r="L13" s="601"/>
      <c r="M13" s="634"/>
      <c r="N13" s="635"/>
      <c r="O13" s="635"/>
      <c r="P13" s="636"/>
      <c r="Q13" s="667"/>
      <c r="R13" s="668"/>
      <c r="S13" s="669"/>
      <c r="T13" s="670"/>
      <c r="U13" s="671"/>
      <c r="V13" s="671"/>
      <c r="W13" s="667"/>
      <c r="X13" s="669"/>
      <c r="Y13" s="669"/>
      <c r="Z13" s="671"/>
      <c r="AA13" s="695"/>
      <c r="AB13" s="576"/>
      <c r="AC13" s="576"/>
      <c r="AD13" s="576"/>
      <c r="AE13" s="576"/>
      <c r="AF13" s="576"/>
      <c r="AG13" s="576"/>
      <c r="AH13" s="576"/>
      <c r="AI13" s="576"/>
      <c r="AJ13" s="576"/>
      <c r="AK13" s="576"/>
      <c r="AL13" s="576"/>
      <c r="AM13" s="576"/>
      <c r="AN13" s="576"/>
      <c r="AO13" s="576"/>
      <c r="AP13" s="576"/>
      <c r="AQ13" s="576"/>
      <c r="AR13" s="576"/>
      <c r="AS13" s="576"/>
      <c r="AT13" s="576"/>
      <c r="AU13" s="576"/>
      <c r="AV13" s="576"/>
      <c r="AW13" s="576"/>
      <c r="AX13" s="576"/>
      <c r="AY13" s="576"/>
      <c r="AZ13" s="576"/>
      <c r="BA13" s="576"/>
      <c r="BB13" s="576"/>
      <c r="BC13" s="576"/>
      <c r="BD13" s="576"/>
      <c r="BE13" s="576"/>
      <c r="BF13" s="576"/>
      <c r="BG13" s="576"/>
      <c r="BH13" s="576"/>
      <c r="BI13" s="576"/>
      <c r="BJ13" s="576"/>
      <c r="BK13" s="576"/>
      <c r="BL13" s="576"/>
      <c r="BM13" s="576"/>
    </row>
    <row r="14" s="577" customFormat="1" ht="16.35" customHeight="1" outlineLevel="3" spans="1:65">
      <c r="A14" s="591"/>
      <c r="B14" s="598" t="s">
        <v>628</v>
      </c>
      <c r="C14" s="599" t="s">
        <v>622</v>
      </c>
      <c r="D14" s="598" t="s">
        <v>1471</v>
      </c>
      <c r="E14" s="598"/>
      <c r="F14" s="600"/>
      <c r="G14" s="601"/>
      <c r="H14" s="601"/>
      <c r="I14" s="601"/>
      <c r="J14" s="634"/>
      <c r="K14" s="637"/>
      <c r="L14" s="601"/>
      <c r="M14" s="634"/>
      <c r="N14" s="635"/>
      <c r="O14" s="635"/>
      <c r="P14" s="636"/>
      <c r="Q14" s="667"/>
      <c r="R14" s="668"/>
      <c r="S14" s="669"/>
      <c r="T14" s="670"/>
      <c r="U14" s="671"/>
      <c r="V14" s="671"/>
      <c r="W14" s="667"/>
      <c r="X14" s="669"/>
      <c r="Y14" s="669"/>
      <c r="Z14" s="671"/>
      <c r="AA14" s="695"/>
      <c r="AB14" s="576"/>
      <c r="AC14" s="576"/>
      <c r="AD14" s="576"/>
      <c r="AE14" s="576"/>
      <c r="AF14" s="576"/>
      <c r="AG14" s="576"/>
      <c r="AH14" s="576"/>
      <c r="AI14" s="576"/>
      <c r="AJ14" s="576"/>
      <c r="AK14" s="576"/>
      <c r="AL14" s="576"/>
      <c r="AM14" s="576"/>
      <c r="AN14" s="576"/>
      <c r="AO14" s="576"/>
      <c r="AP14" s="576"/>
      <c r="AQ14" s="576"/>
      <c r="AR14" s="576"/>
      <c r="AS14" s="576"/>
      <c r="AT14" s="576"/>
      <c r="AU14" s="576"/>
      <c r="AV14" s="576"/>
      <c r="AW14" s="576"/>
      <c r="AX14" s="576"/>
      <c r="AY14" s="576"/>
      <c r="AZ14" s="576"/>
      <c r="BA14" s="576"/>
      <c r="BB14" s="576"/>
      <c r="BC14" s="576"/>
      <c r="BD14" s="576"/>
      <c r="BE14" s="576"/>
      <c r="BF14" s="576"/>
      <c r="BG14" s="576"/>
      <c r="BH14" s="576"/>
      <c r="BI14" s="576"/>
      <c r="BJ14" s="576"/>
      <c r="BK14" s="576"/>
      <c r="BL14" s="576"/>
      <c r="BM14" s="576"/>
    </row>
    <row r="15" s="577" customFormat="1" ht="16.35" customHeight="1" outlineLevel="3" spans="1:65">
      <c r="A15" s="591"/>
      <c r="B15" s="598" t="s">
        <v>630</v>
      </c>
      <c r="C15" s="599" t="s">
        <v>622</v>
      </c>
      <c r="D15" s="598" t="s">
        <v>1307</v>
      </c>
      <c r="E15" s="598"/>
      <c r="F15" s="600"/>
      <c r="G15" s="601"/>
      <c r="H15" s="601"/>
      <c r="I15" s="601"/>
      <c r="J15" s="601"/>
      <c r="K15" s="637"/>
      <c r="L15" s="601"/>
      <c r="M15" s="601"/>
      <c r="N15" s="635"/>
      <c r="O15" s="635"/>
      <c r="P15" s="636"/>
      <c r="Q15" s="667"/>
      <c r="R15" s="668"/>
      <c r="S15" s="669"/>
      <c r="T15" s="670"/>
      <c r="U15" s="671"/>
      <c r="V15" s="671"/>
      <c r="W15" s="667"/>
      <c r="X15" s="669"/>
      <c r="Y15" s="669"/>
      <c r="Z15" s="671"/>
      <c r="AA15" s="695"/>
      <c r="AB15" s="576"/>
      <c r="AC15" s="576"/>
      <c r="AD15" s="576"/>
      <c r="AE15" s="576"/>
      <c r="AF15" s="576"/>
      <c r="AG15" s="576"/>
      <c r="AH15" s="576"/>
      <c r="AI15" s="576"/>
      <c r="AJ15" s="576"/>
      <c r="AK15" s="576"/>
      <c r="AL15" s="576"/>
      <c r="AM15" s="576"/>
      <c r="AN15" s="576"/>
      <c r="AO15" s="576"/>
      <c r="AP15" s="576"/>
      <c r="AQ15" s="576"/>
      <c r="AR15" s="576"/>
      <c r="AS15" s="576"/>
      <c r="AT15" s="576"/>
      <c r="AU15" s="576"/>
      <c r="AV15" s="576"/>
      <c r="AW15" s="576"/>
      <c r="AX15" s="576"/>
      <c r="AY15" s="576"/>
      <c r="AZ15" s="576"/>
      <c r="BA15" s="576"/>
      <c r="BB15" s="576"/>
      <c r="BC15" s="576"/>
      <c r="BD15" s="576"/>
      <c r="BE15" s="576"/>
      <c r="BF15" s="576"/>
      <c r="BG15" s="576"/>
      <c r="BH15" s="576"/>
      <c r="BI15" s="576"/>
      <c r="BJ15" s="576"/>
      <c r="BK15" s="576"/>
      <c r="BL15" s="576"/>
      <c r="BM15" s="576"/>
    </row>
    <row r="16" s="577" customFormat="1" ht="16.35" customHeight="1" outlineLevel="3" spans="1:65">
      <c r="A16" s="591"/>
      <c r="B16" s="598" t="s">
        <v>628</v>
      </c>
      <c r="C16" s="599" t="s">
        <v>657</v>
      </c>
      <c r="D16" s="598" t="s">
        <v>1308</v>
      </c>
      <c r="E16" s="598"/>
      <c r="F16" s="600"/>
      <c r="G16" s="601"/>
      <c r="H16" s="601"/>
      <c r="I16" s="601"/>
      <c r="J16" s="601"/>
      <c r="K16" s="601"/>
      <c r="L16" s="601">
        <v>559.459459459459</v>
      </c>
      <c r="M16" s="601">
        <v>61.5405405405405</v>
      </c>
      <c r="N16" s="635">
        <v>621</v>
      </c>
      <c r="O16" s="635"/>
      <c r="P16" s="636"/>
      <c r="Q16" s="667"/>
      <c r="R16" s="668"/>
      <c r="S16" s="669"/>
      <c r="T16" s="670"/>
      <c r="U16" s="671"/>
      <c r="V16" s="671"/>
      <c r="W16" s="667"/>
      <c r="X16" s="669"/>
      <c r="Y16" s="669"/>
      <c r="Z16" s="671"/>
      <c r="AA16" s="695"/>
      <c r="AB16" s="576"/>
      <c r="AC16" s="576"/>
      <c r="AD16" s="576"/>
      <c r="AE16" s="576"/>
      <c r="AF16" s="576"/>
      <c r="AG16" s="576"/>
      <c r="AH16" s="576"/>
      <c r="AI16" s="576"/>
      <c r="AJ16" s="576"/>
      <c r="AK16" s="576"/>
      <c r="AL16" s="576"/>
      <c r="AM16" s="576"/>
      <c r="AN16" s="576"/>
      <c r="AO16" s="576"/>
      <c r="AP16" s="576"/>
      <c r="AQ16" s="576"/>
      <c r="AR16" s="576"/>
      <c r="AS16" s="576"/>
      <c r="AT16" s="576"/>
      <c r="AU16" s="576"/>
      <c r="AV16" s="576"/>
      <c r="AW16" s="576"/>
      <c r="AX16" s="576"/>
      <c r="AY16" s="576"/>
      <c r="AZ16" s="576"/>
      <c r="BA16" s="576"/>
      <c r="BB16" s="576"/>
      <c r="BC16" s="576"/>
      <c r="BD16" s="576"/>
      <c r="BE16" s="576"/>
      <c r="BF16" s="576"/>
      <c r="BG16" s="576"/>
      <c r="BH16" s="576"/>
      <c r="BI16" s="576"/>
      <c r="BJ16" s="576"/>
      <c r="BK16" s="576"/>
      <c r="BL16" s="576"/>
      <c r="BM16" s="576"/>
    </row>
    <row r="17" s="577" customFormat="1" ht="16.35" customHeight="1" outlineLevel="3" spans="1:65">
      <c r="A17" s="591"/>
      <c r="B17" s="598" t="s">
        <v>630</v>
      </c>
      <c r="C17" s="599" t="s">
        <v>622</v>
      </c>
      <c r="D17" s="598" t="s">
        <v>1472</v>
      </c>
      <c r="E17" s="598"/>
      <c r="F17" s="600"/>
      <c r="G17" s="601"/>
      <c r="H17" s="601"/>
      <c r="I17" s="601"/>
      <c r="J17" s="601"/>
      <c r="K17" s="637"/>
      <c r="L17" s="601"/>
      <c r="M17" s="601"/>
      <c r="N17" s="635"/>
      <c r="O17" s="635"/>
      <c r="P17" s="636"/>
      <c r="Q17" s="667"/>
      <c r="R17" s="668"/>
      <c r="S17" s="669"/>
      <c r="T17" s="670"/>
      <c r="U17" s="671"/>
      <c r="V17" s="671"/>
      <c r="W17" s="667"/>
      <c r="X17" s="669"/>
      <c r="Y17" s="669"/>
      <c r="Z17" s="671"/>
      <c r="AA17" s="695"/>
      <c r="AB17" s="576"/>
      <c r="AC17" s="576"/>
      <c r="AD17" s="576"/>
      <c r="AE17" s="576"/>
      <c r="AF17" s="576"/>
      <c r="AG17" s="576"/>
      <c r="AH17" s="576"/>
      <c r="AI17" s="576"/>
      <c r="AJ17" s="576"/>
      <c r="AK17" s="576"/>
      <c r="AL17" s="576"/>
      <c r="AM17" s="576"/>
      <c r="AN17" s="576"/>
      <c r="AO17" s="576"/>
      <c r="AP17" s="576"/>
      <c r="AQ17" s="576"/>
      <c r="AR17" s="576"/>
      <c r="AS17" s="576"/>
      <c r="AT17" s="576"/>
      <c r="AU17" s="576"/>
      <c r="AV17" s="576"/>
      <c r="AW17" s="576"/>
      <c r="AX17" s="576"/>
      <c r="AY17" s="576"/>
      <c r="AZ17" s="576"/>
      <c r="BA17" s="576"/>
      <c r="BB17" s="576"/>
      <c r="BC17" s="576"/>
      <c r="BD17" s="576"/>
      <c r="BE17" s="576"/>
      <c r="BF17" s="576"/>
      <c r="BG17" s="576"/>
      <c r="BH17" s="576"/>
      <c r="BI17" s="576"/>
      <c r="BJ17" s="576"/>
      <c r="BK17" s="576"/>
      <c r="BL17" s="576"/>
      <c r="BM17" s="576"/>
    </row>
    <row r="18" s="577" customFormat="1" ht="16.35" customHeight="1" outlineLevel="3" spans="1:65">
      <c r="A18" s="591"/>
      <c r="B18" s="598" t="s">
        <v>632</v>
      </c>
      <c r="C18" s="599" t="s">
        <v>622</v>
      </c>
      <c r="D18" s="598" t="s">
        <v>1473</v>
      </c>
      <c r="E18" s="598"/>
      <c r="F18" s="600"/>
      <c r="G18" s="601"/>
      <c r="H18" s="601"/>
      <c r="I18" s="601"/>
      <c r="J18" s="601"/>
      <c r="K18" s="637"/>
      <c r="L18" s="601"/>
      <c r="M18" s="601"/>
      <c r="N18" s="635"/>
      <c r="O18" s="635"/>
      <c r="P18" s="636"/>
      <c r="Q18" s="667"/>
      <c r="R18" s="668"/>
      <c r="S18" s="669"/>
      <c r="T18" s="670"/>
      <c r="U18" s="671"/>
      <c r="V18" s="671"/>
      <c r="W18" s="667"/>
      <c r="X18" s="669"/>
      <c r="Y18" s="669"/>
      <c r="Z18" s="671"/>
      <c r="AA18" s="695"/>
      <c r="AB18" s="576"/>
      <c r="AC18" s="576"/>
      <c r="AD18" s="576"/>
      <c r="AE18" s="576"/>
      <c r="AF18" s="576"/>
      <c r="AG18" s="576"/>
      <c r="AH18" s="576"/>
      <c r="AI18" s="576"/>
      <c r="AJ18" s="576"/>
      <c r="AK18" s="576"/>
      <c r="AL18" s="576"/>
      <c r="AM18" s="576"/>
      <c r="AN18" s="576"/>
      <c r="AO18" s="576"/>
      <c r="AP18" s="576"/>
      <c r="AQ18" s="576"/>
      <c r="AR18" s="576"/>
      <c r="AS18" s="576"/>
      <c r="AT18" s="576"/>
      <c r="AU18" s="576"/>
      <c r="AV18" s="576"/>
      <c r="AW18" s="576"/>
      <c r="AX18" s="576"/>
      <c r="AY18" s="576"/>
      <c r="AZ18" s="576"/>
      <c r="BA18" s="576"/>
      <c r="BB18" s="576"/>
      <c r="BC18" s="576"/>
      <c r="BD18" s="576"/>
      <c r="BE18" s="576"/>
      <c r="BF18" s="576"/>
      <c r="BG18" s="576"/>
      <c r="BH18" s="576"/>
      <c r="BI18" s="576"/>
      <c r="BJ18" s="576"/>
      <c r="BK18" s="576"/>
      <c r="BL18" s="576"/>
      <c r="BM18" s="576"/>
    </row>
    <row r="19" s="577" customFormat="1" ht="16.35" customHeight="1" outlineLevel="3" spans="1:65">
      <c r="A19" s="591"/>
      <c r="B19" s="598" t="s">
        <v>634</v>
      </c>
      <c r="C19" s="599" t="s">
        <v>762</v>
      </c>
      <c r="D19" s="598" t="s">
        <v>1312</v>
      </c>
      <c r="E19" s="598" t="s">
        <v>1313</v>
      </c>
      <c r="F19" s="600"/>
      <c r="G19" s="601"/>
      <c r="H19" s="601"/>
      <c r="I19" s="601"/>
      <c r="J19" s="601"/>
      <c r="K19" s="637"/>
      <c r="L19" s="601">
        <v>0</v>
      </c>
      <c r="M19" s="601">
        <v>0</v>
      </c>
      <c r="N19" s="635">
        <v>0</v>
      </c>
      <c r="O19" s="635" t="s">
        <v>1469</v>
      </c>
      <c r="P19" s="636"/>
      <c r="Q19" s="667"/>
      <c r="R19" s="668"/>
      <c r="S19" s="669"/>
      <c r="T19" s="670"/>
      <c r="U19" s="671"/>
      <c r="V19" s="671"/>
      <c r="W19" s="667"/>
      <c r="X19" s="669"/>
      <c r="Y19" s="669"/>
      <c r="Z19" s="671"/>
      <c r="AA19" s="695"/>
      <c r="AB19" s="576"/>
      <c r="AC19" s="576"/>
      <c r="AD19" s="576"/>
      <c r="AE19" s="576"/>
      <c r="AF19" s="576"/>
      <c r="AG19" s="576"/>
      <c r="AH19" s="576"/>
      <c r="AI19" s="576"/>
      <c r="AJ19" s="576"/>
      <c r="AK19" s="576"/>
      <c r="AL19" s="576"/>
      <c r="AM19" s="576"/>
      <c r="AN19" s="576"/>
      <c r="AO19" s="576"/>
      <c r="AP19" s="576"/>
      <c r="AQ19" s="576"/>
      <c r="AR19" s="576"/>
      <c r="AS19" s="576"/>
      <c r="AT19" s="576"/>
      <c r="AU19" s="576"/>
      <c r="AV19" s="576"/>
      <c r="AW19" s="576"/>
      <c r="AX19" s="576"/>
      <c r="AY19" s="576"/>
      <c r="AZ19" s="576"/>
      <c r="BA19" s="576"/>
      <c r="BB19" s="576"/>
      <c r="BC19" s="576"/>
      <c r="BD19" s="576"/>
      <c r="BE19" s="576"/>
      <c r="BF19" s="576"/>
      <c r="BG19" s="576"/>
      <c r="BH19" s="576"/>
      <c r="BI19" s="576"/>
      <c r="BJ19" s="576"/>
      <c r="BK19" s="576"/>
      <c r="BL19" s="576"/>
      <c r="BM19" s="576"/>
    </row>
    <row r="20" s="576" customFormat="1" ht="15.9" customHeight="1" outlineLevel="1" spans="1:27">
      <c r="A20" s="591"/>
      <c r="B20" s="1824" t="s">
        <v>515</v>
      </c>
      <c r="C20" s="596">
        <v>2</v>
      </c>
      <c r="D20" s="1818" t="s">
        <v>516</v>
      </c>
      <c r="E20" s="1818" t="s">
        <v>516</v>
      </c>
      <c r="F20" s="185"/>
      <c r="G20" s="185"/>
      <c r="H20" s="185"/>
      <c r="I20" s="185"/>
      <c r="J20" s="185"/>
      <c r="K20" s="639">
        <v>0</v>
      </c>
      <c r="L20" s="185">
        <v>0</v>
      </c>
      <c r="M20" s="185">
        <v>0</v>
      </c>
      <c r="N20" s="632">
        <v>0</v>
      </c>
      <c r="O20" s="632" t="s">
        <v>1469</v>
      </c>
      <c r="P20" s="633" t="s">
        <v>1452</v>
      </c>
      <c r="Q20" s="665">
        <v>0</v>
      </c>
      <c r="R20" s="665">
        <v>0</v>
      </c>
      <c r="S20" s="665">
        <v>0</v>
      </c>
      <c r="T20" s="665">
        <v>0</v>
      </c>
      <c r="U20" s="665">
        <v>0</v>
      </c>
      <c r="V20" s="665">
        <v>0</v>
      </c>
      <c r="W20" s="665"/>
      <c r="X20" s="665"/>
      <c r="Y20" s="665"/>
      <c r="Z20" s="665"/>
      <c r="AA20" s="694"/>
    </row>
    <row r="21" s="576" customFormat="1" ht="15.9" customHeight="1" outlineLevel="1" spans="1:27">
      <c r="A21" s="591"/>
      <c r="B21" s="1824" t="s">
        <v>519</v>
      </c>
      <c r="C21" s="596">
        <v>3</v>
      </c>
      <c r="D21" s="1818" t="s">
        <v>617</v>
      </c>
      <c r="E21" s="597"/>
      <c r="F21" s="185"/>
      <c r="G21" s="185"/>
      <c r="H21" s="185"/>
      <c r="I21" s="185"/>
      <c r="J21" s="185"/>
      <c r="K21" s="185"/>
      <c r="L21" s="185"/>
      <c r="M21" s="185"/>
      <c r="N21" s="632">
        <v>0</v>
      </c>
      <c r="O21" s="632"/>
      <c r="P21" s="633" t="s">
        <v>1452</v>
      </c>
      <c r="Q21" s="665">
        <v>0</v>
      </c>
      <c r="R21" s="665">
        <v>0</v>
      </c>
      <c r="S21" s="665">
        <v>0</v>
      </c>
      <c r="T21" s="665">
        <v>0</v>
      </c>
      <c r="U21" s="665">
        <v>0</v>
      </c>
      <c r="V21" s="665">
        <v>0</v>
      </c>
      <c r="W21" s="665">
        <v>0</v>
      </c>
      <c r="X21" s="665">
        <v>0</v>
      </c>
      <c r="Y21" s="665">
        <v>0</v>
      </c>
      <c r="Z21" s="665">
        <v>0</v>
      </c>
      <c r="AA21" s="694"/>
    </row>
    <row r="22" s="577" customFormat="1" ht="16.35" customHeight="1" outlineLevel="2" spans="1:65">
      <c r="A22" s="591"/>
      <c r="B22" s="598" t="s">
        <v>618</v>
      </c>
      <c r="C22" s="599" t="s">
        <v>619</v>
      </c>
      <c r="D22" s="598" t="s">
        <v>620</v>
      </c>
      <c r="E22" s="598"/>
      <c r="F22" s="600"/>
      <c r="G22" s="601"/>
      <c r="H22" s="601"/>
      <c r="I22" s="601"/>
      <c r="J22" s="601"/>
      <c r="K22" s="601"/>
      <c r="L22" s="601"/>
      <c r="M22" s="601"/>
      <c r="N22" s="635">
        <v>0</v>
      </c>
      <c r="O22" s="635"/>
      <c r="P22" s="636"/>
      <c r="Q22" s="666">
        <v>0</v>
      </c>
      <c r="R22" s="666">
        <v>0</v>
      </c>
      <c r="S22" s="666">
        <v>0</v>
      </c>
      <c r="T22" s="666">
        <v>0</v>
      </c>
      <c r="U22" s="666">
        <v>0</v>
      </c>
      <c r="V22" s="666">
        <v>0</v>
      </c>
      <c r="W22" s="635">
        <v>0</v>
      </c>
      <c r="X22" s="635">
        <v>0</v>
      </c>
      <c r="Y22" s="635">
        <v>0</v>
      </c>
      <c r="Z22" s="635">
        <v>0</v>
      </c>
      <c r="AA22" s="695"/>
      <c r="AB22" s="576"/>
      <c r="AC22" s="576"/>
      <c r="AD22" s="576"/>
      <c r="AE22" s="576"/>
      <c r="AF22" s="576"/>
      <c r="AG22" s="576"/>
      <c r="AH22" s="576"/>
      <c r="AI22" s="576"/>
      <c r="AJ22" s="576"/>
      <c r="AK22" s="576"/>
      <c r="AL22" s="576"/>
      <c r="AM22" s="576"/>
      <c r="AN22" s="576"/>
      <c r="AO22" s="576"/>
      <c r="AP22" s="576"/>
      <c r="AQ22" s="576"/>
      <c r="AR22" s="576"/>
      <c r="AS22" s="576"/>
      <c r="AT22" s="576"/>
      <c r="AU22" s="576"/>
      <c r="AV22" s="576"/>
      <c r="AW22" s="576"/>
      <c r="AX22" s="576"/>
      <c r="AY22" s="576"/>
      <c r="AZ22" s="576"/>
      <c r="BA22" s="576"/>
      <c r="BB22" s="576"/>
      <c r="BC22" s="576"/>
      <c r="BD22" s="576"/>
      <c r="BE22" s="576"/>
      <c r="BF22" s="576"/>
      <c r="BG22" s="576"/>
      <c r="BH22" s="576"/>
      <c r="BI22" s="576"/>
      <c r="BJ22" s="576"/>
      <c r="BK22" s="576"/>
      <c r="BL22" s="576"/>
      <c r="BM22" s="576"/>
    </row>
    <row r="23" s="577" customFormat="1" ht="16.35" customHeight="1" outlineLevel="3" spans="1:65">
      <c r="A23" s="591"/>
      <c r="B23" s="598" t="s">
        <v>621</v>
      </c>
      <c r="C23" s="599" t="s">
        <v>622</v>
      </c>
      <c r="D23" s="598" t="s">
        <v>1474</v>
      </c>
      <c r="E23" s="598"/>
      <c r="F23" s="600"/>
      <c r="G23" s="601"/>
      <c r="H23" s="601"/>
      <c r="I23" s="601"/>
      <c r="J23" s="601"/>
      <c r="K23" s="640">
        <v>0</v>
      </c>
      <c r="L23" s="601">
        <v>0</v>
      </c>
      <c r="M23" s="601">
        <v>0</v>
      </c>
      <c r="N23" s="635">
        <v>0</v>
      </c>
      <c r="O23" s="635"/>
      <c r="P23" s="636"/>
      <c r="Q23" s="666">
        <v>0</v>
      </c>
      <c r="R23" s="666">
        <v>0</v>
      </c>
      <c r="S23" s="666">
        <v>0</v>
      </c>
      <c r="T23" s="666">
        <v>0</v>
      </c>
      <c r="U23" s="666">
        <v>0</v>
      </c>
      <c r="V23" s="666">
        <v>0</v>
      </c>
      <c r="W23" s="667"/>
      <c r="X23" s="669"/>
      <c r="Y23" s="669"/>
      <c r="Z23" s="671"/>
      <c r="AA23" s="695"/>
      <c r="AB23" s="576"/>
      <c r="AC23" s="576"/>
      <c r="AD23" s="576"/>
      <c r="AE23" s="576"/>
      <c r="AF23" s="576"/>
      <c r="AG23" s="576"/>
      <c r="AH23" s="576"/>
      <c r="AI23" s="576"/>
      <c r="AJ23" s="576"/>
      <c r="AK23" s="576"/>
      <c r="AL23" s="576"/>
      <c r="AM23" s="576"/>
      <c r="AN23" s="576"/>
      <c r="AO23" s="576"/>
      <c r="AP23" s="576"/>
      <c r="AQ23" s="576"/>
      <c r="AR23" s="576"/>
      <c r="AS23" s="576"/>
      <c r="AT23" s="576"/>
      <c r="AU23" s="576"/>
      <c r="AV23" s="576"/>
      <c r="AW23" s="576"/>
      <c r="AX23" s="576"/>
      <c r="AY23" s="576"/>
      <c r="AZ23" s="576"/>
      <c r="BA23" s="576"/>
      <c r="BB23" s="576"/>
      <c r="BC23" s="576"/>
      <c r="BD23" s="576"/>
      <c r="BE23" s="576"/>
      <c r="BF23" s="576"/>
      <c r="BG23" s="576"/>
      <c r="BH23" s="576"/>
      <c r="BI23" s="576"/>
      <c r="BJ23" s="576"/>
      <c r="BK23" s="576"/>
      <c r="BL23" s="576"/>
      <c r="BM23" s="576"/>
    </row>
    <row r="24" s="577" customFormat="1" ht="16.35" customHeight="1" outlineLevel="3" spans="1:65">
      <c r="A24" s="591"/>
      <c r="B24" s="598" t="s">
        <v>626</v>
      </c>
      <c r="C24" s="599" t="s">
        <v>622</v>
      </c>
      <c r="D24" s="598" t="s">
        <v>1475</v>
      </c>
      <c r="E24" s="598"/>
      <c r="F24" s="600"/>
      <c r="G24" s="601"/>
      <c r="H24" s="601"/>
      <c r="I24" s="601"/>
      <c r="J24" s="601"/>
      <c r="K24" s="640">
        <v>0</v>
      </c>
      <c r="L24" s="601">
        <v>0</v>
      </c>
      <c r="M24" s="601">
        <v>0</v>
      </c>
      <c r="N24" s="635">
        <v>0</v>
      </c>
      <c r="O24" s="635"/>
      <c r="P24" s="636"/>
      <c r="Q24" s="666">
        <v>0</v>
      </c>
      <c r="R24" s="666">
        <v>0</v>
      </c>
      <c r="S24" s="666">
        <v>0</v>
      </c>
      <c r="T24" s="666">
        <v>0</v>
      </c>
      <c r="U24" s="666">
        <v>0</v>
      </c>
      <c r="V24" s="666">
        <v>0</v>
      </c>
      <c r="W24" s="667"/>
      <c r="X24" s="669"/>
      <c r="Y24" s="669"/>
      <c r="Z24" s="671"/>
      <c r="AA24" s="695"/>
      <c r="AB24" s="576"/>
      <c r="AC24" s="576"/>
      <c r="AD24" s="576"/>
      <c r="AE24" s="576"/>
      <c r="AF24" s="576"/>
      <c r="AG24" s="576"/>
      <c r="AH24" s="576"/>
      <c r="AI24" s="576"/>
      <c r="AJ24" s="576"/>
      <c r="AK24" s="576"/>
      <c r="AL24" s="576"/>
      <c r="AM24" s="576"/>
      <c r="AN24" s="576"/>
      <c r="AO24" s="576"/>
      <c r="AP24" s="576"/>
      <c r="AQ24" s="576"/>
      <c r="AR24" s="576"/>
      <c r="AS24" s="576"/>
      <c r="AT24" s="576"/>
      <c r="AU24" s="576"/>
      <c r="AV24" s="576"/>
      <c r="AW24" s="576"/>
      <c r="AX24" s="576"/>
      <c r="AY24" s="576"/>
      <c r="AZ24" s="576"/>
      <c r="BA24" s="576"/>
      <c r="BB24" s="576"/>
      <c r="BC24" s="576"/>
      <c r="BD24" s="576"/>
      <c r="BE24" s="576"/>
      <c r="BF24" s="576"/>
      <c r="BG24" s="576"/>
      <c r="BH24" s="576"/>
      <c r="BI24" s="576"/>
      <c r="BJ24" s="576"/>
      <c r="BK24" s="576"/>
      <c r="BL24" s="576"/>
      <c r="BM24" s="576"/>
    </row>
    <row r="25" s="577" customFormat="1" ht="16.35" customHeight="1" outlineLevel="3" spans="1:65">
      <c r="A25" s="591"/>
      <c r="B25" s="598" t="s">
        <v>628</v>
      </c>
      <c r="C25" s="599" t="s">
        <v>622</v>
      </c>
      <c r="D25" s="598" t="s">
        <v>1476</v>
      </c>
      <c r="E25" s="598"/>
      <c r="F25" s="600"/>
      <c r="G25" s="601"/>
      <c r="H25" s="601"/>
      <c r="I25" s="601"/>
      <c r="J25" s="601"/>
      <c r="K25" s="640">
        <v>0</v>
      </c>
      <c r="L25" s="601">
        <v>0</v>
      </c>
      <c r="M25" s="601">
        <v>0</v>
      </c>
      <c r="N25" s="635">
        <v>0</v>
      </c>
      <c r="O25" s="635"/>
      <c r="P25" s="636"/>
      <c r="Q25" s="666">
        <v>0</v>
      </c>
      <c r="R25" s="666">
        <v>0</v>
      </c>
      <c r="S25" s="666">
        <v>0</v>
      </c>
      <c r="T25" s="666">
        <v>0</v>
      </c>
      <c r="U25" s="666">
        <v>0</v>
      </c>
      <c r="V25" s="666">
        <v>0</v>
      </c>
      <c r="W25" s="667"/>
      <c r="X25" s="669"/>
      <c r="Y25" s="669"/>
      <c r="Z25" s="671"/>
      <c r="AA25" s="695"/>
      <c r="AB25" s="576"/>
      <c r="AC25" s="576"/>
      <c r="AD25" s="576"/>
      <c r="AE25" s="576"/>
      <c r="AF25" s="576"/>
      <c r="AG25" s="576"/>
      <c r="AH25" s="576"/>
      <c r="AI25" s="576"/>
      <c r="AJ25" s="576"/>
      <c r="AK25" s="576"/>
      <c r="AL25" s="576"/>
      <c r="AM25" s="576"/>
      <c r="AN25" s="576"/>
      <c r="AO25" s="576"/>
      <c r="AP25" s="576"/>
      <c r="AQ25" s="576"/>
      <c r="AR25" s="576"/>
      <c r="AS25" s="576"/>
      <c r="AT25" s="576"/>
      <c r="AU25" s="576"/>
      <c r="AV25" s="576"/>
      <c r="AW25" s="576"/>
      <c r="AX25" s="576"/>
      <c r="AY25" s="576"/>
      <c r="AZ25" s="576"/>
      <c r="BA25" s="576"/>
      <c r="BB25" s="576"/>
      <c r="BC25" s="576"/>
      <c r="BD25" s="576"/>
      <c r="BE25" s="576"/>
      <c r="BF25" s="576"/>
      <c r="BG25" s="576"/>
      <c r="BH25" s="576"/>
      <c r="BI25" s="576"/>
      <c r="BJ25" s="576"/>
      <c r="BK25" s="576"/>
      <c r="BL25" s="576"/>
      <c r="BM25" s="576"/>
    </row>
    <row r="26" s="577" customFormat="1" ht="16.35" customHeight="1" outlineLevel="3" spans="1:65">
      <c r="A26" s="591"/>
      <c r="B26" s="598" t="s">
        <v>630</v>
      </c>
      <c r="C26" s="599" t="s">
        <v>622</v>
      </c>
      <c r="D26" s="598" t="s">
        <v>1477</v>
      </c>
      <c r="E26" s="598"/>
      <c r="F26" s="600"/>
      <c r="G26" s="601"/>
      <c r="H26" s="601"/>
      <c r="I26" s="601"/>
      <c r="J26" s="601"/>
      <c r="K26" s="640">
        <v>0</v>
      </c>
      <c r="L26" s="601">
        <v>0</v>
      </c>
      <c r="M26" s="601">
        <v>0</v>
      </c>
      <c r="N26" s="635">
        <v>0</v>
      </c>
      <c r="O26" s="635"/>
      <c r="P26" s="636"/>
      <c r="Q26" s="666">
        <v>0</v>
      </c>
      <c r="R26" s="666">
        <v>0</v>
      </c>
      <c r="S26" s="666">
        <v>0</v>
      </c>
      <c r="T26" s="666">
        <v>0</v>
      </c>
      <c r="U26" s="666">
        <v>0</v>
      </c>
      <c r="V26" s="666">
        <v>0</v>
      </c>
      <c r="W26" s="667"/>
      <c r="X26" s="669"/>
      <c r="Y26" s="669"/>
      <c r="Z26" s="671"/>
      <c r="AA26" s="695"/>
      <c r="AB26" s="576"/>
      <c r="AC26" s="576"/>
      <c r="AD26" s="576"/>
      <c r="AE26" s="576"/>
      <c r="AF26" s="576"/>
      <c r="AG26" s="576"/>
      <c r="AH26" s="576"/>
      <c r="AI26" s="576"/>
      <c r="AJ26" s="576"/>
      <c r="AK26" s="576"/>
      <c r="AL26" s="576"/>
      <c r="AM26" s="576"/>
      <c r="AN26" s="576"/>
      <c r="AO26" s="576"/>
      <c r="AP26" s="576"/>
      <c r="AQ26" s="576"/>
      <c r="AR26" s="576"/>
      <c r="AS26" s="576"/>
      <c r="AT26" s="576"/>
      <c r="AU26" s="576"/>
      <c r="AV26" s="576"/>
      <c r="AW26" s="576"/>
      <c r="AX26" s="576"/>
      <c r="AY26" s="576"/>
      <c r="AZ26" s="576"/>
      <c r="BA26" s="576"/>
      <c r="BB26" s="576"/>
      <c r="BC26" s="576"/>
      <c r="BD26" s="576"/>
      <c r="BE26" s="576"/>
      <c r="BF26" s="576"/>
      <c r="BG26" s="576"/>
      <c r="BH26" s="576"/>
      <c r="BI26" s="576"/>
      <c r="BJ26" s="576"/>
      <c r="BK26" s="576"/>
      <c r="BL26" s="576"/>
      <c r="BM26" s="576"/>
    </row>
    <row r="27" s="577" customFormat="1" ht="16.35" customHeight="1" outlineLevel="3" spans="1:65">
      <c r="A27" s="591"/>
      <c r="B27" s="598" t="s">
        <v>632</v>
      </c>
      <c r="C27" s="599" t="s">
        <v>622</v>
      </c>
      <c r="D27" s="598" t="s">
        <v>1478</v>
      </c>
      <c r="E27" s="598"/>
      <c r="F27" s="600"/>
      <c r="G27" s="601"/>
      <c r="H27" s="601"/>
      <c r="I27" s="601"/>
      <c r="J27" s="601"/>
      <c r="K27" s="640">
        <v>0</v>
      </c>
      <c r="L27" s="601">
        <v>0</v>
      </c>
      <c r="M27" s="601">
        <v>0</v>
      </c>
      <c r="N27" s="635">
        <v>0</v>
      </c>
      <c r="O27" s="635"/>
      <c r="P27" s="636"/>
      <c r="Q27" s="666">
        <v>0</v>
      </c>
      <c r="R27" s="666">
        <v>0</v>
      </c>
      <c r="S27" s="666">
        <v>0</v>
      </c>
      <c r="T27" s="666">
        <v>0</v>
      </c>
      <c r="U27" s="666">
        <v>0</v>
      </c>
      <c r="V27" s="666">
        <v>0</v>
      </c>
      <c r="W27" s="667"/>
      <c r="X27" s="669"/>
      <c r="Y27" s="669"/>
      <c r="Z27" s="671"/>
      <c r="AA27" s="695"/>
      <c r="AB27" s="576"/>
      <c r="AC27" s="576"/>
      <c r="AD27" s="576"/>
      <c r="AE27" s="576"/>
      <c r="AF27" s="576"/>
      <c r="AG27" s="576"/>
      <c r="AH27" s="576"/>
      <c r="AI27" s="576"/>
      <c r="AJ27" s="576"/>
      <c r="AK27" s="576"/>
      <c r="AL27" s="576"/>
      <c r="AM27" s="576"/>
      <c r="AN27" s="576"/>
      <c r="AO27" s="576"/>
      <c r="AP27" s="576"/>
      <c r="AQ27" s="576"/>
      <c r="AR27" s="576"/>
      <c r="AS27" s="576"/>
      <c r="AT27" s="576"/>
      <c r="AU27" s="576"/>
      <c r="AV27" s="576"/>
      <c r="AW27" s="576"/>
      <c r="AX27" s="576"/>
      <c r="AY27" s="576"/>
      <c r="AZ27" s="576"/>
      <c r="BA27" s="576"/>
      <c r="BB27" s="576"/>
      <c r="BC27" s="576"/>
      <c r="BD27" s="576"/>
      <c r="BE27" s="576"/>
      <c r="BF27" s="576"/>
      <c r="BG27" s="576"/>
      <c r="BH27" s="576"/>
      <c r="BI27" s="576"/>
      <c r="BJ27" s="576"/>
      <c r="BK27" s="576"/>
      <c r="BL27" s="576"/>
      <c r="BM27" s="576"/>
    </row>
    <row r="28" s="577" customFormat="1" ht="16.35" customHeight="1" outlineLevel="3" spans="1:65">
      <c r="A28" s="591"/>
      <c r="B28" s="598" t="s">
        <v>634</v>
      </c>
      <c r="C28" s="599" t="s">
        <v>622</v>
      </c>
      <c r="D28" s="598" t="s">
        <v>1479</v>
      </c>
      <c r="E28" s="598"/>
      <c r="F28" s="600"/>
      <c r="G28" s="601"/>
      <c r="H28" s="601"/>
      <c r="I28" s="601"/>
      <c r="J28" s="601"/>
      <c r="K28" s="640">
        <v>0</v>
      </c>
      <c r="L28" s="601">
        <v>0</v>
      </c>
      <c r="M28" s="601">
        <v>0</v>
      </c>
      <c r="N28" s="635">
        <v>0</v>
      </c>
      <c r="O28" s="635"/>
      <c r="P28" s="636"/>
      <c r="Q28" s="666">
        <v>0</v>
      </c>
      <c r="R28" s="666">
        <v>0</v>
      </c>
      <c r="S28" s="666">
        <v>0</v>
      </c>
      <c r="T28" s="666">
        <v>0</v>
      </c>
      <c r="U28" s="666">
        <v>0</v>
      </c>
      <c r="V28" s="666">
        <v>0</v>
      </c>
      <c r="W28" s="667"/>
      <c r="X28" s="669"/>
      <c r="Y28" s="669"/>
      <c r="Z28" s="671"/>
      <c r="AA28" s="695"/>
      <c r="AB28" s="576"/>
      <c r="AC28" s="576"/>
      <c r="AD28" s="576"/>
      <c r="AE28" s="576"/>
      <c r="AF28" s="576"/>
      <c r="AG28" s="576"/>
      <c r="AH28" s="576"/>
      <c r="AI28" s="576"/>
      <c r="AJ28" s="576"/>
      <c r="AK28" s="576"/>
      <c r="AL28" s="576"/>
      <c r="AM28" s="576"/>
      <c r="AN28" s="576"/>
      <c r="AO28" s="576"/>
      <c r="AP28" s="576"/>
      <c r="AQ28" s="576"/>
      <c r="AR28" s="576"/>
      <c r="AS28" s="576"/>
      <c r="AT28" s="576"/>
      <c r="AU28" s="576"/>
      <c r="AV28" s="576"/>
      <c r="AW28" s="576"/>
      <c r="AX28" s="576"/>
      <c r="AY28" s="576"/>
      <c r="AZ28" s="576"/>
      <c r="BA28" s="576"/>
      <c r="BB28" s="576"/>
      <c r="BC28" s="576"/>
      <c r="BD28" s="576"/>
      <c r="BE28" s="576"/>
      <c r="BF28" s="576"/>
      <c r="BG28" s="576"/>
      <c r="BH28" s="576"/>
      <c r="BI28" s="576"/>
      <c r="BJ28" s="576"/>
      <c r="BK28" s="576"/>
      <c r="BL28" s="576"/>
      <c r="BM28" s="576"/>
    </row>
    <row r="29" s="577" customFormat="1" ht="16.35" customHeight="1" outlineLevel="2" spans="1:65">
      <c r="A29" s="591"/>
      <c r="B29" s="598" t="s">
        <v>656</v>
      </c>
      <c r="C29" s="599" t="s">
        <v>657</v>
      </c>
      <c r="D29" s="598" t="s">
        <v>658</v>
      </c>
      <c r="E29" s="598"/>
      <c r="F29" s="600"/>
      <c r="G29" s="601"/>
      <c r="H29" s="601"/>
      <c r="I29" s="601"/>
      <c r="J29" s="601"/>
      <c r="K29" s="601"/>
      <c r="L29" s="601"/>
      <c r="M29" s="601"/>
      <c r="N29" s="635">
        <v>0</v>
      </c>
      <c r="O29" s="635"/>
      <c r="P29" s="636"/>
      <c r="Q29" s="666">
        <v>0</v>
      </c>
      <c r="R29" s="666">
        <v>0</v>
      </c>
      <c r="S29" s="666">
        <v>0</v>
      </c>
      <c r="T29" s="666">
        <v>0</v>
      </c>
      <c r="U29" s="666">
        <v>0</v>
      </c>
      <c r="V29" s="666">
        <v>0</v>
      </c>
      <c r="W29" s="635">
        <v>0</v>
      </c>
      <c r="X29" s="635">
        <v>0</v>
      </c>
      <c r="Y29" s="635">
        <v>0</v>
      </c>
      <c r="Z29" s="635">
        <v>0</v>
      </c>
      <c r="AA29" s="695"/>
      <c r="AB29" s="576"/>
      <c r="AC29" s="576"/>
      <c r="AD29" s="576"/>
      <c r="AE29" s="576"/>
      <c r="AF29" s="576"/>
      <c r="AG29" s="576"/>
      <c r="AH29" s="576"/>
      <c r="AI29" s="576"/>
      <c r="AJ29" s="576"/>
      <c r="AK29" s="576"/>
      <c r="AL29" s="576"/>
      <c r="AM29" s="576"/>
      <c r="AN29" s="576"/>
      <c r="AO29" s="576"/>
      <c r="AP29" s="576"/>
      <c r="AQ29" s="576"/>
      <c r="AR29" s="576"/>
      <c r="AS29" s="576"/>
      <c r="AT29" s="576"/>
      <c r="AU29" s="576"/>
      <c r="AV29" s="576"/>
      <c r="AW29" s="576"/>
      <c r="AX29" s="576"/>
      <c r="AY29" s="576"/>
      <c r="AZ29" s="576"/>
      <c r="BA29" s="576"/>
      <c r="BB29" s="576"/>
      <c r="BC29" s="576"/>
      <c r="BD29" s="576"/>
      <c r="BE29" s="576"/>
      <c r="BF29" s="576"/>
      <c r="BG29" s="576"/>
      <c r="BH29" s="576"/>
      <c r="BI29" s="576"/>
      <c r="BJ29" s="576"/>
      <c r="BK29" s="576"/>
      <c r="BL29" s="576"/>
      <c r="BM29" s="576"/>
    </row>
    <row r="30" s="577" customFormat="1" ht="16.35" customHeight="1" outlineLevel="3" spans="1:65">
      <c r="A30" s="591"/>
      <c r="B30" s="598" t="s">
        <v>659</v>
      </c>
      <c r="C30" s="599" t="s">
        <v>622</v>
      </c>
      <c r="D30" s="598" t="s">
        <v>1480</v>
      </c>
      <c r="E30" s="598"/>
      <c r="F30" s="600"/>
      <c r="G30" s="375"/>
      <c r="H30" s="375"/>
      <c r="I30" s="375"/>
      <c r="J30" s="375"/>
      <c r="K30" s="640">
        <v>0</v>
      </c>
      <c r="L30" s="601">
        <v>0</v>
      </c>
      <c r="M30" s="601">
        <v>0</v>
      </c>
      <c r="N30" s="635">
        <v>0</v>
      </c>
      <c r="O30" s="641"/>
      <c r="P30" s="642"/>
      <c r="Q30" s="666">
        <v>0</v>
      </c>
      <c r="R30" s="666">
        <v>0</v>
      </c>
      <c r="S30" s="666">
        <v>0</v>
      </c>
      <c r="T30" s="666">
        <v>0</v>
      </c>
      <c r="U30" s="666">
        <v>0</v>
      </c>
      <c r="V30" s="666">
        <v>0</v>
      </c>
      <c r="W30" s="667"/>
      <c r="X30" s="669"/>
      <c r="Y30" s="669"/>
      <c r="Z30" s="671"/>
      <c r="AA30" s="695"/>
      <c r="AB30" s="576"/>
      <c r="AC30" s="576"/>
      <c r="AD30" s="576"/>
      <c r="AE30" s="576"/>
      <c r="AF30" s="576"/>
      <c r="AG30" s="576"/>
      <c r="AH30" s="576"/>
      <c r="AI30" s="576"/>
      <c r="AJ30" s="576"/>
      <c r="AK30" s="576"/>
      <c r="AL30" s="576"/>
      <c r="AM30" s="576"/>
      <c r="AN30" s="576"/>
      <c r="AO30" s="576"/>
      <c r="AP30" s="576"/>
      <c r="AQ30" s="576"/>
      <c r="AR30" s="576"/>
      <c r="AS30" s="576"/>
      <c r="AT30" s="576"/>
      <c r="AU30" s="576"/>
      <c r="AV30" s="576"/>
      <c r="AW30" s="576"/>
      <c r="AX30" s="576"/>
      <c r="AY30" s="576"/>
      <c r="AZ30" s="576"/>
      <c r="BA30" s="576"/>
      <c r="BB30" s="576"/>
      <c r="BC30" s="576"/>
      <c r="BD30" s="576"/>
      <c r="BE30" s="576"/>
      <c r="BF30" s="576"/>
      <c r="BG30" s="576"/>
      <c r="BH30" s="576"/>
      <c r="BI30" s="576"/>
      <c r="BJ30" s="576"/>
      <c r="BK30" s="576"/>
      <c r="BL30" s="576"/>
      <c r="BM30" s="576"/>
    </row>
    <row r="31" s="577" customFormat="1" ht="16.35" customHeight="1" outlineLevel="3" spans="1:65">
      <c r="A31" s="591"/>
      <c r="B31" s="598" t="s">
        <v>663</v>
      </c>
      <c r="C31" s="599" t="s">
        <v>622</v>
      </c>
      <c r="D31" s="598" t="s">
        <v>687</v>
      </c>
      <c r="E31" s="598"/>
      <c r="F31" s="600"/>
      <c r="G31" s="375"/>
      <c r="H31" s="375"/>
      <c r="I31" s="375"/>
      <c r="J31" s="375"/>
      <c r="K31" s="640">
        <v>0</v>
      </c>
      <c r="L31" s="601">
        <v>0</v>
      </c>
      <c r="M31" s="601">
        <v>0</v>
      </c>
      <c r="N31" s="635">
        <v>0</v>
      </c>
      <c r="O31" s="641"/>
      <c r="P31" s="642"/>
      <c r="Q31" s="666">
        <v>0</v>
      </c>
      <c r="R31" s="666">
        <v>0</v>
      </c>
      <c r="S31" s="666">
        <v>0</v>
      </c>
      <c r="T31" s="666">
        <v>0</v>
      </c>
      <c r="U31" s="666">
        <v>0</v>
      </c>
      <c r="V31" s="666">
        <v>0</v>
      </c>
      <c r="W31" s="667"/>
      <c r="X31" s="669"/>
      <c r="Y31" s="669"/>
      <c r="Z31" s="671"/>
      <c r="AA31" s="695"/>
      <c r="AB31" s="576"/>
      <c r="AC31" s="576"/>
      <c r="AD31" s="576"/>
      <c r="AE31" s="576"/>
      <c r="AF31" s="576"/>
      <c r="AG31" s="576"/>
      <c r="AH31" s="576"/>
      <c r="AI31" s="576"/>
      <c r="AJ31" s="576"/>
      <c r="AK31" s="576"/>
      <c r="AL31" s="576"/>
      <c r="AM31" s="576"/>
      <c r="AN31" s="576"/>
      <c r="AO31" s="576"/>
      <c r="AP31" s="576"/>
      <c r="AQ31" s="576"/>
      <c r="AR31" s="576"/>
      <c r="AS31" s="576"/>
      <c r="AT31" s="576"/>
      <c r="AU31" s="576"/>
      <c r="AV31" s="576"/>
      <c r="AW31" s="576"/>
      <c r="AX31" s="576"/>
      <c r="AY31" s="576"/>
      <c r="AZ31" s="576"/>
      <c r="BA31" s="576"/>
      <c r="BB31" s="576"/>
      <c r="BC31" s="576"/>
      <c r="BD31" s="576"/>
      <c r="BE31" s="576"/>
      <c r="BF31" s="576"/>
      <c r="BG31" s="576"/>
      <c r="BH31" s="576"/>
      <c r="BI31" s="576"/>
      <c r="BJ31" s="576"/>
      <c r="BK31" s="576"/>
      <c r="BL31" s="576"/>
      <c r="BM31" s="576"/>
    </row>
    <row r="32" s="577" customFormat="1" ht="16.35" customHeight="1" outlineLevel="3" spans="1:65">
      <c r="A32" s="591"/>
      <c r="B32" s="598" t="s">
        <v>666</v>
      </c>
      <c r="C32" s="599" t="s">
        <v>622</v>
      </c>
      <c r="D32" s="598" t="s">
        <v>1481</v>
      </c>
      <c r="E32" s="598"/>
      <c r="F32" s="600"/>
      <c r="G32" s="601"/>
      <c r="H32" s="601"/>
      <c r="I32" s="601"/>
      <c r="J32" s="601"/>
      <c r="K32" s="640">
        <v>0</v>
      </c>
      <c r="L32" s="601">
        <v>0</v>
      </c>
      <c r="M32" s="601">
        <v>0</v>
      </c>
      <c r="N32" s="635">
        <v>0</v>
      </c>
      <c r="O32" s="635"/>
      <c r="P32" s="636"/>
      <c r="Q32" s="666">
        <v>0</v>
      </c>
      <c r="R32" s="666">
        <v>0</v>
      </c>
      <c r="S32" s="666">
        <v>0</v>
      </c>
      <c r="T32" s="666">
        <v>0</v>
      </c>
      <c r="U32" s="666">
        <v>0</v>
      </c>
      <c r="V32" s="666">
        <v>0</v>
      </c>
      <c r="W32" s="667"/>
      <c r="X32" s="669"/>
      <c r="Y32" s="669"/>
      <c r="Z32" s="671"/>
      <c r="AA32" s="695"/>
      <c r="AB32" s="576"/>
      <c r="AC32" s="576"/>
      <c r="AD32" s="576"/>
      <c r="AE32" s="576"/>
      <c r="AF32" s="576"/>
      <c r="AG32" s="576"/>
      <c r="AH32" s="576"/>
      <c r="AI32" s="576"/>
      <c r="AJ32" s="576"/>
      <c r="AK32" s="576"/>
      <c r="AL32" s="576"/>
      <c r="AM32" s="576"/>
      <c r="AN32" s="576"/>
      <c r="AO32" s="576"/>
      <c r="AP32" s="576"/>
      <c r="AQ32" s="576"/>
      <c r="AR32" s="576"/>
      <c r="AS32" s="576"/>
      <c r="AT32" s="576"/>
      <c r="AU32" s="576"/>
      <c r="AV32" s="576"/>
      <c r="AW32" s="576"/>
      <c r="AX32" s="576"/>
      <c r="AY32" s="576"/>
      <c r="AZ32" s="576"/>
      <c r="BA32" s="576"/>
      <c r="BB32" s="576"/>
      <c r="BC32" s="576"/>
      <c r="BD32" s="576"/>
      <c r="BE32" s="576"/>
      <c r="BF32" s="576"/>
      <c r="BG32" s="576"/>
      <c r="BH32" s="576"/>
      <c r="BI32" s="576"/>
      <c r="BJ32" s="576"/>
      <c r="BK32" s="576"/>
      <c r="BL32" s="576"/>
      <c r="BM32" s="576"/>
    </row>
    <row r="33" s="577" customFormat="1" ht="16.35" customHeight="1" outlineLevel="3" spans="1:65">
      <c r="A33" s="591"/>
      <c r="B33" s="598" t="s">
        <v>670</v>
      </c>
      <c r="C33" s="599" t="s">
        <v>622</v>
      </c>
      <c r="D33" s="598" t="s">
        <v>654</v>
      </c>
      <c r="E33" s="598"/>
      <c r="F33" s="600"/>
      <c r="G33" s="601"/>
      <c r="H33" s="601"/>
      <c r="I33" s="601"/>
      <c r="J33" s="601"/>
      <c r="K33" s="640">
        <v>0</v>
      </c>
      <c r="L33" s="601">
        <v>0</v>
      </c>
      <c r="M33" s="601">
        <v>0</v>
      </c>
      <c r="N33" s="635">
        <v>0</v>
      </c>
      <c r="O33" s="635"/>
      <c r="P33" s="636"/>
      <c r="Q33" s="666">
        <v>0</v>
      </c>
      <c r="R33" s="666">
        <v>0</v>
      </c>
      <c r="S33" s="666">
        <v>0</v>
      </c>
      <c r="T33" s="666">
        <v>0</v>
      </c>
      <c r="U33" s="666">
        <v>0</v>
      </c>
      <c r="V33" s="666">
        <v>0</v>
      </c>
      <c r="W33" s="667"/>
      <c r="X33" s="669"/>
      <c r="Y33" s="669"/>
      <c r="Z33" s="671"/>
      <c r="AA33" s="695"/>
      <c r="AB33" s="576"/>
      <c r="AC33" s="576"/>
      <c r="AD33" s="576"/>
      <c r="AE33" s="576"/>
      <c r="AF33" s="576"/>
      <c r="AG33" s="576"/>
      <c r="AH33" s="576"/>
      <c r="AI33" s="576"/>
      <c r="AJ33" s="576"/>
      <c r="AK33" s="576"/>
      <c r="AL33" s="576"/>
      <c r="AM33" s="576"/>
      <c r="AN33" s="576"/>
      <c r="AO33" s="576"/>
      <c r="AP33" s="576"/>
      <c r="AQ33" s="576"/>
      <c r="AR33" s="576"/>
      <c r="AS33" s="576"/>
      <c r="AT33" s="576"/>
      <c r="AU33" s="576"/>
      <c r="AV33" s="576"/>
      <c r="AW33" s="576"/>
      <c r="AX33" s="576"/>
      <c r="AY33" s="576"/>
      <c r="AZ33" s="576"/>
      <c r="BA33" s="576"/>
      <c r="BB33" s="576"/>
      <c r="BC33" s="576"/>
      <c r="BD33" s="576"/>
      <c r="BE33" s="576"/>
      <c r="BF33" s="576"/>
      <c r="BG33" s="576"/>
      <c r="BH33" s="576"/>
      <c r="BI33" s="576"/>
      <c r="BJ33" s="576"/>
      <c r="BK33" s="576"/>
      <c r="BL33" s="576"/>
      <c r="BM33" s="576"/>
    </row>
    <row r="34" s="577" customFormat="1" ht="16.35" customHeight="1" outlineLevel="3" spans="1:65">
      <c r="A34" s="591"/>
      <c r="B34" s="598" t="s">
        <v>673</v>
      </c>
      <c r="C34" s="599" t="s">
        <v>622</v>
      </c>
      <c r="D34" s="598" t="s">
        <v>1482</v>
      </c>
      <c r="E34" s="598"/>
      <c r="F34" s="600"/>
      <c r="G34" s="601"/>
      <c r="H34" s="601"/>
      <c r="I34" s="601"/>
      <c r="J34" s="601"/>
      <c r="K34" s="640">
        <v>0</v>
      </c>
      <c r="L34" s="601">
        <v>0</v>
      </c>
      <c r="M34" s="601">
        <v>0</v>
      </c>
      <c r="N34" s="635">
        <v>0</v>
      </c>
      <c r="O34" s="635"/>
      <c r="P34" s="636"/>
      <c r="Q34" s="666">
        <v>0</v>
      </c>
      <c r="R34" s="666">
        <v>0</v>
      </c>
      <c r="S34" s="666">
        <v>0</v>
      </c>
      <c r="T34" s="666">
        <v>0</v>
      </c>
      <c r="U34" s="666">
        <v>0</v>
      </c>
      <c r="V34" s="666">
        <v>0</v>
      </c>
      <c r="W34" s="667"/>
      <c r="X34" s="669"/>
      <c r="Y34" s="669"/>
      <c r="Z34" s="671"/>
      <c r="AA34" s="695"/>
      <c r="AB34" s="576"/>
      <c r="AC34" s="576"/>
      <c r="AD34" s="576"/>
      <c r="AE34" s="576"/>
      <c r="AF34" s="576"/>
      <c r="AG34" s="576"/>
      <c r="AH34" s="576"/>
      <c r="AI34" s="576"/>
      <c r="AJ34" s="576"/>
      <c r="AK34" s="576"/>
      <c r="AL34" s="576"/>
      <c r="AM34" s="576"/>
      <c r="AN34" s="576"/>
      <c r="AO34" s="576"/>
      <c r="AP34" s="576"/>
      <c r="AQ34" s="576"/>
      <c r="AR34" s="576"/>
      <c r="AS34" s="576"/>
      <c r="AT34" s="576"/>
      <c r="AU34" s="576"/>
      <c r="AV34" s="576"/>
      <c r="AW34" s="576"/>
      <c r="AX34" s="576"/>
      <c r="AY34" s="576"/>
      <c r="AZ34" s="576"/>
      <c r="BA34" s="576"/>
      <c r="BB34" s="576"/>
      <c r="BC34" s="576"/>
      <c r="BD34" s="576"/>
      <c r="BE34" s="576"/>
      <c r="BF34" s="576"/>
      <c r="BG34" s="576"/>
      <c r="BH34" s="576"/>
      <c r="BI34" s="576"/>
      <c r="BJ34" s="576"/>
      <c r="BK34" s="576"/>
      <c r="BL34" s="576"/>
      <c r="BM34" s="576"/>
    </row>
    <row r="35" s="577" customFormat="1" ht="16.35" customHeight="1" outlineLevel="3" spans="1:65">
      <c r="A35" s="591"/>
      <c r="B35" s="598" t="s">
        <v>675</v>
      </c>
      <c r="C35" s="599" t="s">
        <v>622</v>
      </c>
      <c r="D35" s="598" t="s">
        <v>756</v>
      </c>
      <c r="E35" s="598"/>
      <c r="F35" s="600"/>
      <c r="G35" s="601"/>
      <c r="H35" s="601"/>
      <c r="I35" s="601"/>
      <c r="J35" s="601"/>
      <c r="K35" s="640">
        <v>0</v>
      </c>
      <c r="L35" s="601">
        <v>0</v>
      </c>
      <c r="M35" s="601">
        <v>0</v>
      </c>
      <c r="N35" s="635">
        <v>0</v>
      </c>
      <c r="O35" s="635"/>
      <c r="P35" s="636"/>
      <c r="Q35" s="666">
        <v>0</v>
      </c>
      <c r="R35" s="666">
        <v>0</v>
      </c>
      <c r="S35" s="666">
        <v>0</v>
      </c>
      <c r="T35" s="666">
        <v>0</v>
      </c>
      <c r="U35" s="666">
        <v>0</v>
      </c>
      <c r="V35" s="666">
        <v>0</v>
      </c>
      <c r="W35" s="667"/>
      <c r="X35" s="669"/>
      <c r="Y35" s="669"/>
      <c r="Z35" s="671"/>
      <c r="AA35" s="695"/>
      <c r="AB35" s="576"/>
      <c r="AC35" s="576"/>
      <c r="AD35" s="576"/>
      <c r="AE35" s="576"/>
      <c r="AF35" s="576"/>
      <c r="AG35" s="576"/>
      <c r="AH35" s="576"/>
      <c r="AI35" s="576"/>
      <c r="AJ35" s="576"/>
      <c r="AK35" s="576"/>
      <c r="AL35" s="576"/>
      <c r="AM35" s="576"/>
      <c r="AN35" s="576"/>
      <c r="AO35" s="576"/>
      <c r="AP35" s="576"/>
      <c r="AQ35" s="576"/>
      <c r="AR35" s="576"/>
      <c r="AS35" s="576"/>
      <c r="AT35" s="576"/>
      <c r="AU35" s="576"/>
      <c r="AV35" s="576"/>
      <c r="AW35" s="576"/>
      <c r="AX35" s="576"/>
      <c r="AY35" s="576"/>
      <c r="AZ35" s="576"/>
      <c r="BA35" s="576"/>
      <c r="BB35" s="576"/>
      <c r="BC35" s="576"/>
      <c r="BD35" s="576"/>
      <c r="BE35" s="576"/>
      <c r="BF35" s="576"/>
      <c r="BG35" s="576"/>
      <c r="BH35" s="576"/>
      <c r="BI35" s="576"/>
      <c r="BJ35" s="576"/>
      <c r="BK35" s="576"/>
      <c r="BL35" s="576"/>
      <c r="BM35" s="576"/>
    </row>
    <row r="36" s="577" customFormat="1" ht="16.35" customHeight="1" outlineLevel="3" spans="1:65">
      <c r="A36" s="591"/>
      <c r="B36" s="598" t="s">
        <v>677</v>
      </c>
      <c r="C36" s="599" t="s">
        <v>622</v>
      </c>
      <c r="D36" s="598" t="s">
        <v>1483</v>
      </c>
      <c r="E36" s="598"/>
      <c r="F36" s="600"/>
      <c r="G36" s="601"/>
      <c r="H36" s="601"/>
      <c r="I36" s="601"/>
      <c r="J36" s="601"/>
      <c r="K36" s="640">
        <v>0</v>
      </c>
      <c r="L36" s="601">
        <v>0</v>
      </c>
      <c r="M36" s="601">
        <v>0</v>
      </c>
      <c r="N36" s="635">
        <v>0</v>
      </c>
      <c r="O36" s="635"/>
      <c r="P36" s="636"/>
      <c r="Q36" s="666">
        <v>0</v>
      </c>
      <c r="R36" s="666">
        <v>0</v>
      </c>
      <c r="S36" s="666">
        <v>0</v>
      </c>
      <c r="T36" s="666">
        <v>0</v>
      </c>
      <c r="U36" s="666">
        <v>0</v>
      </c>
      <c r="V36" s="666">
        <v>0</v>
      </c>
      <c r="W36" s="667"/>
      <c r="X36" s="669"/>
      <c r="Y36" s="669"/>
      <c r="Z36" s="671"/>
      <c r="AA36" s="695"/>
      <c r="AB36" s="576"/>
      <c r="AC36" s="576"/>
      <c r="AD36" s="576"/>
      <c r="AE36" s="576"/>
      <c r="AF36" s="576"/>
      <c r="AG36" s="576"/>
      <c r="AH36" s="576"/>
      <c r="AI36" s="576"/>
      <c r="AJ36" s="576"/>
      <c r="AK36" s="576"/>
      <c r="AL36" s="576"/>
      <c r="AM36" s="576"/>
      <c r="AN36" s="576"/>
      <c r="AO36" s="576"/>
      <c r="AP36" s="576"/>
      <c r="AQ36" s="576"/>
      <c r="AR36" s="576"/>
      <c r="AS36" s="576"/>
      <c r="AT36" s="576"/>
      <c r="AU36" s="576"/>
      <c r="AV36" s="576"/>
      <c r="AW36" s="576"/>
      <c r="AX36" s="576"/>
      <c r="AY36" s="576"/>
      <c r="AZ36" s="576"/>
      <c r="BA36" s="576"/>
      <c r="BB36" s="576"/>
      <c r="BC36" s="576"/>
      <c r="BD36" s="576"/>
      <c r="BE36" s="576"/>
      <c r="BF36" s="576"/>
      <c r="BG36" s="576"/>
      <c r="BH36" s="576"/>
      <c r="BI36" s="576"/>
      <c r="BJ36" s="576"/>
      <c r="BK36" s="576"/>
      <c r="BL36" s="576"/>
      <c r="BM36" s="576"/>
    </row>
    <row r="37" s="577" customFormat="1" ht="16.35" customHeight="1" outlineLevel="3" spans="1:65">
      <c r="A37" s="591"/>
      <c r="B37" s="598" t="s">
        <v>679</v>
      </c>
      <c r="C37" s="599" t="s">
        <v>622</v>
      </c>
      <c r="D37" s="598" t="s">
        <v>1484</v>
      </c>
      <c r="E37" s="598"/>
      <c r="F37" s="600"/>
      <c r="G37" s="601"/>
      <c r="H37" s="601"/>
      <c r="I37" s="601"/>
      <c r="J37" s="601"/>
      <c r="K37" s="640">
        <v>0</v>
      </c>
      <c r="L37" s="601">
        <v>0</v>
      </c>
      <c r="M37" s="601">
        <v>0</v>
      </c>
      <c r="N37" s="635">
        <v>0</v>
      </c>
      <c r="O37" s="635"/>
      <c r="P37" s="636"/>
      <c r="Q37" s="666">
        <v>0</v>
      </c>
      <c r="R37" s="666">
        <v>0</v>
      </c>
      <c r="S37" s="666">
        <v>0</v>
      </c>
      <c r="T37" s="666">
        <v>0</v>
      </c>
      <c r="U37" s="666">
        <v>0</v>
      </c>
      <c r="V37" s="666">
        <v>0</v>
      </c>
      <c r="W37" s="667"/>
      <c r="X37" s="669"/>
      <c r="Y37" s="669"/>
      <c r="Z37" s="671"/>
      <c r="AA37" s="695"/>
      <c r="AB37" s="576"/>
      <c r="AC37" s="576"/>
      <c r="AD37" s="576"/>
      <c r="AE37" s="576"/>
      <c r="AF37" s="576"/>
      <c r="AG37" s="576"/>
      <c r="AH37" s="576"/>
      <c r="AI37" s="576"/>
      <c r="AJ37" s="576"/>
      <c r="AK37" s="576"/>
      <c r="AL37" s="576"/>
      <c r="AM37" s="576"/>
      <c r="AN37" s="576"/>
      <c r="AO37" s="576"/>
      <c r="AP37" s="576"/>
      <c r="AQ37" s="576"/>
      <c r="AR37" s="576"/>
      <c r="AS37" s="576"/>
      <c r="AT37" s="576"/>
      <c r="AU37" s="576"/>
      <c r="AV37" s="576"/>
      <c r="AW37" s="576"/>
      <c r="AX37" s="576"/>
      <c r="AY37" s="576"/>
      <c r="AZ37" s="576"/>
      <c r="BA37" s="576"/>
      <c r="BB37" s="576"/>
      <c r="BC37" s="576"/>
      <c r="BD37" s="576"/>
      <c r="BE37" s="576"/>
      <c r="BF37" s="576"/>
      <c r="BG37" s="576"/>
      <c r="BH37" s="576"/>
      <c r="BI37" s="576"/>
      <c r="BJ37" s="576"/>
      <c r="BK37" s="576"/>
      <c r="BL37" s="576"/>
      <c r="BM37" s="576"/>
    </row>
    <row r="38" s="577" customFormat="1" ht="16.35" customHeight="1" outlineLevel="3" spans="1:65">
      <c r="A38" s="591"/>
      <c r="B38" s="598" t="s">
        <v>682</v>
      </c>
      <c r="C38" s="599" t="s">
        <v>622</v>
      </c>
      <c r="D38" s="598" t="s">
        <v>1485</v>
      </c>
      <c r="E38" s="598"/>
      <c r="F38" s="600"/>
      <c r="G38" s="601"/>
      <c r="H38" s="601"/>
      <c r="I38" s="601"/>
      <c r="J38" s="601"/>
      <c r="K38" s="640">
        <v>0</v>
      </c>
      <c r="L38" s="601">
        <v>0</v>
      </c>
      <c r="M38" s="601">
        <v>0</v>
      </c>
      <c r="N38" s="635">
        <v>0</v>
      </c>
      <c r="O38" s="635"/>
      <c r="P38" s="636"/>
      <c r="Q38" s="666">
        <v>0</v>
      </c>
      <c r="R38" s="666">
        <v>0</v>
      </c>
      <c r="S38" s="666">
        <v>0</v>
      </c>
      <c r="T38" s="666">
        <v>0</v>
      </c>
      <c r="U38" s="666">
        <v>0</v>
      </c>
      <c r="V38" s="666">
        <v>0</v>
      </c>
      <c r="W38" s="667"/>
      <c r="X38" s="669"/>
      <c r="Y38" s="669"/>
      <c r="Z38" s="671"/>
      <c r="AA38" s="695"/>
      <c r="AB38" s="576"/>
      <c r="AC38" s="576"/>
      <c r="AD38" s="576"/>
      <c r="AE38" s="576"/>
      <c r="AF38" s="576"/>
      <c r="AG38" s="576"/>
      <c r="AH38" s="576"/>
      <c r="AI38" s="576"/>
      <c r="AJ38" s="576"/>
      <c r="AK38" s="576"/>
      <c r="AL38" s="576"/>
      <c r="AM38" s="576"/>
      <c r="AN38" s="576"/>
      <c r="AO38" s="576"/>
      <c r="AP38" s="576"/>
      <c r="AQ38" s="576"/>
      <c r="AR38" s="576"/>
      <c r="AS38" s="576"/>
      <c r="AT38" s="576"/>
      <c r="AU38" s="576"/>
      <c r="AV38" s="576"/>
      <c r="AW38" s="576"/>
      <c r="AX38" s="576"/>
      <c r="AY38" s="576"/>
      <c r="AZ38" s="576"/>
      <c r="BA38" s="576"/>
      <c r="BB38" s="576"/>
      <c r="BC38" s="576"/>
      <c r="BD38" s="576"/>
      <c r="BE38" s="576"/>
      <c r="BF38" s="576"/>
      <c r="BG38" s="576"/>
      <c r="BH38" s="576"/>
      <c r="BI38" s="576"/>
      <c r="BJ38" s="576"/>
      <c r="BK38" s="576"/>
      <c r="BL38" s="576"/>
      <c r="BM38" s="576"/>
    </row>
    <row r="39" s="577" customFormat="1" ht="16.35" customHeight="1" outlineLevel="3" spans="1:65">
      <c r="A39" s="591"/>
      <c r="B39" s="598" t="s">
        <v>684</v>
      </c>
      <c r="C39" s="599" t="s">
        <v>622</v>
      </c>
      <c r="D39" s="598" t="s">
        <v>1486</v>
      </c>
      <c r="E39" s="598"/>
      <c r="F39" s="600"/>
      <c r="G39" s="601"/>
      <c r="H39" s="601"/>
      <c r="I39" s="601"/>
      <c r="J39" s="601"/>
      <c r="K39" s="640">
        <v>0</v>
      </c>
      <c r="L39" s="601">
        <v>0</v>
      </c>
      <c r="M39" s="601">
        <v>0</v>
      </c>
      <c r="N39" s="635">
        <v>0</v>
      </c>
      <c r="O39" s="635"/>
      <c r="P39" s="636"/>
      <c r="Q39" s="666">
        <v>0</v>
      </c>
      <c r="R39" s="666">
        <v>0</v>
      </c>
      <c r="S39" s="666">
        <v>0</v>
      </c>
      <c r="T39" s="666">
        <v>0</v>
      </c>
      <c r="U39" s="666">
        <v>0</v>
      </c>
      <c r="V39" s="666">
        <v>0</v>
      </c>
      <c r="W39" s="667"/>
      <c r="X39" s="669"/>
      <c r="Y39" s="669"/>
      <c r="Z39" s="671"/>
      <c r="AA39" s="695"/>
      <c r="AB39" s="576"/>
      <c r="AC39" s="576"/>
      <c r="AD39" s="576"/>
      <c r="AE39" s="576"/>
      <c r="AF39" s="576"/>
      <c r="AG39" s="576"/>
      <c r="AH39" s="576"/>
      <c r="AI39" s="576"/>
      <c r="AJ39" s="576"/>
      <c r="AK39" s="576"/>
      <c r="AL39" s="576"/>
      <c r="AM39" s="576"/>
      <c r="AN39" s="576"/>
      <c r="AO39" s="576"/>
      <c r="AP39" s="576"/>
      <c r="AQ39" s="576"/>
      <c r="AR39" s="576"/>
      <c r="AS39" s="576"/>
      <c r="AT39" s="576"/>
      <c r="AU39" s="576"/>
      <c r="AV39" s="576"/>
      <c r="AW39" s="576"/>
      <c r="AX39" s="576"/>
      <c r="AY39" s="576"/>
      <c r="AZ39" s="576"/>
      <c r="BA39" s="576"/>
      <c r="BB39" s="576"/>
      <c r="BC39" s="576"/>
      <c r="BD39" s="576"/>
      <c r="BE39" s="576"/>
      <c r="BF39" s="576"/>
      <c r="BG39" s="576"/>
      <c r="BH39" s="576"/>
      <c r="BI39" s="576"/>
      <c r="BJ39" s="576"/>
      <c r="BK39" s="576"/>
      <c r="BL39" s="576"/>
      <c r="BM39" s="576"/>
    </row>
    <row r="40" s="577" customFormat="1" ht="16.35" customHeight="1" outlineLevel="3" spans="1:65">
      <c r="A40" s="591"/>
      <c r="B40" s="598" t="s">
        <v>686</v>
      </c>
      <c r="C40" s="599" t="s">
        <v>622</v>
      </c>
      <c r="D40" s="598" t="s">
        <v>1487</v>
      </c>
      <c r="E40" s="598"/>
      <c r="F40" s="600"/>
      <c r="G40" s="601"/>
      <c r="H40" s="601"/>
      <c r="I40" s="601"/>
      <c r="J40" s="601"/>
      <c r="K40" s="640">
        <v>0</v>
      </c>
      <c r="L40" s="601">
        <v>0</v>
      </c>
      <c r="M40" s="601">
        <v>0</v>
      </c>
      <c r="N40" s="635">
        <v>0</v>
      </c>
      <c r="O40" s="635"/>
      <c r="P40" s="636"/>
      <c r="Q40" s="666">
        <v>0</v>
      </c>
      <c r="R40" s="666">
        <v>0</v>
      </c>
      <c r="S40" s="666">
        <v>0</v>
      </c>
      <c r="T40" s="666">
        <v>0</v>
      </c>
      <c r="U40" s="666">
        <v>0</v>
      </c>
      <c r="V40" s="666">
        <v>0</v>
      </c>
      <c r="W40" s="667"/>
      <c r="X40" s="669"/>
      <c r="Y40" s="669"/>
      <c r="Z40" s="671"/>
      <c r="AA40" s="695"/>
      <c r="AB40" s="576"/>
      <c r="AC40" s="576"/>
      <c r="AD40" s="576"/>
      <c r="AE40" s="576"/>
      <c r="AF40" s="576"/>
      <c r="AG40" s="576"/>
      <c r="AH40" s="576"/>
      <c r="AI40" s="576"/>
      <c r="AJ40" s="576"/>
      <c r="AK40" s="576"/>
      <c r="AL40" s="576"/>
      <c r="AM40" s="576"/>
      <c r="AN40" s="576"/>
      <c r="AO40" s="576"/>
      <c r="AP40" s="576"/>
      <c r="AQ40" s="576"/>
      <c r="AR40" s="576"/>
      <c r="AS40" s="576"/>
      <c r="AT40" s="576"/>
      <c r="AU40" s="576"/>
      <c r="AV40" s="576"/>
      <c r="AW40" s="576"/>
      <c r="AX40" s="576"/>
      <c r="AY40" s="576"/>
      <c r="AZ40" s="576"/>
      <c r="BA40" s="576"/>
      <c r="BB40" s="576"/>
      <c r="BC40" s="576"/>
      <c r="BD40" s="576"/>
      <c r="BE40" s="576"/>
      <c r="BF40" s="576"/>
      <c r="BG40" s="576"/>
      <c r="BH40" s="576"/>
      <c r="BI40" s="576"/>
      <c r="BJ40" s="576"/>
      <c r="BK40" s="576"/>
      <c r="BL40" s="576"/>
      <c r="BM40" s="576"/>
    </row>
    <row r="41" s="577" customFormat="1" ht="16.35" customHeight="1" outlineLevel="3" spans="1:65">
      <c r="A41" s="591"/>
      <c r="B41" s="598" t="s">
        <v>688</v>
      </c>
      <c r="C41" s="599" t="s">
        <v>622</v>
      </c>
      <c r="D41" s="598" t="s">
        <v>1488</v>
      </c>
      <c r="E41" s="598"/>
      <c r="F41" s="600"/>
      <c r="G41" s="601"/>
      <c r="H41" s="601"/>
      <c r="I41" s="601"/>
      <c r="J41" s="601"/>
      <c r="K41" s="640">
        <v>0</v>
      </c>
      <c r="L41" s="601">
        <v>0</v>
      </c>
      <c r="M41" s="601">
        <v>0</v>
      </c>
      <c r="N41" s="635">
        <v>0</v>
      </c>
      <c r="O41" s="635"/>
      <c r="P41" s="636"/>
      <c r="Q41" s="666">
        <v>0</v>
      </c>
      <c r="R41" s="666">
        <v>0</v>
      </c>
      <c r="S41" s="666">
        <v>0</v>
      </c>
      <c r="T41" s="666">
        <v>0</v>
      </c>
      <c r="U41" s="666">
        <v>0</v>
      </c>
      <c r="V41" s="666">
        <v>0</v>
      </c>
      <c r="W41" s="667"/>
      <c r="X41" s="669"/>
      <c r="Y41" s="669"/>
      <c r="Z41" s="671"/>
      <c r="AA41" s="695"/>
      <c r="AB41" s="576"/>
      <c r="AC41" s="576"/>
      <c r="AD41" s="576"/>
      <c r="AE41" s="576"/>
      <c r="AF41" s="576"/>
      <c r="AG41" s="576"/>
      <c r="AH41" s="576"/>
      <c r="AI41" s="576"/>
      <c r="AJ41" s="576"/>
      <c r="AK41" s="576"/>
      <c r="AL41" s="576"/>
      <c r="AM41" s="576"/>
      <c r="AN41" s="576"/>
      <c r="AO41" s="576"/>
      <c r="AP41" s="576"/>
      <c r="AQ41" s="576"/>
      <c r="AR41" s="576"/>
      <c r="AS41" s="576"/>
      <c r="AT41" s="576"/>
      <c r="AU41" s="576"/>
      <c r="AV41" s="576"/>
      <c r="AW41" s="576"/>
      <c r="AX41" s="576"/>
      <c r="AY41" s="576"/>
      <c r="AZ41" s="576"/>
      <c r="BA41" s="576"/>
      <c r="BB41" s="576"/>
      <c r="BC41" s="576"/>
      <c r="BD41" s="576"/>
      <c r="BE41" s="576"/>
      <c r="BF41" s="576"/>
      <c r="BG41" s="576"/>
      <c r="BH41" s="576"/>
      <c r="BI41" s="576"/>
      <c r="BJ41" s="576"/>
      <c r="BK41" s="576"/>
      <c r="BL41" s="576"/>
      <c r="BM41" s="576"/>
    </row>
    <row r="42" s="577" customFormat="1" ht="16.35" customHeight="1" outlineLevel="2" spans="1:65">
      <c r="A42" s="591"/>
      <c r="B42" s="598" t="s">
        <v>761</v>
      </c>
      <c r="C42" s="599" t="s">
        <v>762</v>
      </c>
      <c r="D42" s="598" t="s">
        <v>763</v>
      </c>
      <c r="E42" s="598"/>
      <c r="F42" s="600"/>
      <c r="G42" s="601"/>
      <c r="H42" s="601"/>
      <c r="I42" s="601"/>
      <c r="J42" s="601"/>
      <c r="K42" s="601"/>
      <c r="L42" s="601"/>
      <c r="M42" s="601"/>
      <c r="N42" s="635">
        <v>0</v>
      </c>
      <c r="O42" s="635"/>
      <c r="P42" s="636"/>
      <c r="Q42" s="666">
        <v>0</v>
      </c>
      <c r="R42" s="666">
        <v>0</v>
      </c>
      <c r="S42" s="666">
        <v>0</v>
      </c>
      <c r="T42" s="666">
        <v>0</v>
      </c>
      <c r="U42" s="666">
        <v>0</v>
      </c>
      <c r="V42" s="666">
        <v>0</v>
      </c>
      <c r="W42" s="672">
        <v>0</v>
      </c>
      <c r="X42" s="635">
        <v>0</v>
      </c>
      <c r="Y42" s="635">
        <v>0</v>
      </c>
      <c r="Z42" s="681">
        <v>0</v>
      </c>
      <c r="AA42" s="695"/>
      <c r="AB42" s="576"/>
      <c r="AC42" s="576"/>
      <c r="AD42" s="576"/>
      <c r="AE42" s="576"/>
      <c r="AF42" s="576"/>
      <c r="AG42" s="576"/>
      <c r="AH42" s="576"/>
      <c r="AI42" s="576"/>
      <c r="AJ42" s="576"/>
      <c r="AK42" s="576"/>
      <c r="AL42" s="576"/>
      <c r="AM42" s="576"/>
      <c r="AN42" s="576"/>
      <c r="AO42" s="576"/>
      <c r="AP42" s="576"/>
      <c r="AQ42" s="576"/>
      <c r="AR42" s="576"/>
      <c r="AS42" s="576"/>
      <c r="AT42" s="576"/>
      <c r="AU42" s="576"/>
      <c r="AV42" s="576"/>
      <c r="AW42" s="576"/>
      <c r="AX42" s="576"/>
      <c r="AY42" s="576"/>
      <c r="AZ42" s="576"/>
      <c r="BA42" s="576"/>
      <c r="BB42" s="576"/>
      <c r="BC42" s="576"/>
      <c r="BD42" s="576"/>
      <c r="BE42" s="576"/>
      <c r="BF42" s="576"/>
      <c r="BG42" s="576"/>
      <c r="BH42" s="576"/>
      <c r="BI42" s="576"/>
      <c r="BJ42" s="576"/>
      <c r="BK42" s="576"/>
      <c r="BL42" s="576"/>
      <c r="BM42" s="576"/>
    </row>
    <row r="43" s="577" customFormat="1" ht="16.35" customHeight="1" outlineLevel="3" spans="1:65">
      <c r="A43" s="591"/>
      <c r="B43" s="598" t="s">
        <v>764</v>
      </c>
      <c r="C43" s="599" t="s">
        <v>622</v>
      </c>
      <c r="D43" s="602" t="s">
        <v>765</v>
      </c>
      <c r="E43" s="602"/>
      <c r="F43" s="603"/>
      <c r="G43" s="603"/>
      <c r="H43" s="603"/>
      <c r="I43" s="603"/>
      <c r="J43" s="603"/>
      <c r="K43" s="640">
        <v>0</v>
      </c>
      <c r="L43" s="601">
        <v>0</v>
      </c>
      <c r="M43" s="601">
        <v>0</v>
      </c>
      <c r="N43" s="635">
        <v>0</v>
      </c>
      <c r="O43" s="641"/>
      <c r="P43" s="642"/>
      <c r="Q43" s="666">
        <v>0</v>
      </c>
      <c r="R43" s="666">
        <v>0</v>
      </c>
      <c r="S43" s="666">
        <v>0</v>
      </c>
      <c r="T43" s="666">
        <v>0</v>
      </c>
      <c r="U43" s="666">
        <v>0</v>
      </c>
      <c r="V43" s="666">
        <v>0</v>
      </c>
      <c r="W43" s="673"/>
      <c r="X43" s="674"/>
      <c r="Y43" s="674"/>
      <c r="Z43" s="696"/>
      <c r="AA43" s="697"/>
      <c r="AB43" s="576"/>
      <c r="AC43" s="576"/>
      <c r="AD43" s="576"/>
      <c r="AE43" s="576"/>
      <c r="AF43" s="576"/>
      <c r="AG43" s="576"/>
      <c r="AH43" s="576"/>
      <c r="AI43" s="576"/>
      <c r="AJ43" s="576"/>
      <c r="AK43" s="576"/>
      <c r="AL43" s="576"/>
      <c r="AM43" s="576"/>
      <c r="AN43" s="576"/>
      <c r="AO43" s="576"/>
      <c r="AP43" s="576"/>
      <c r="AQ43" s="576"/>
      <c r="AR43" s="576"/>
      <c r="AS43" s="576"/>
      <c r="AT43" s="576"/>
      <c r="AU43" s="576"/>
      <c r="AV43" s="576"/>
      <c r="AW43" s="576"/>
      <c r="AX43" s="576"/>
      <c r="AY43" s="576"/>
      <c r="AZ43" s="576"/>
      <c r="BA43" s="576"/>
      <c r="BB43" s="576"/>
      <c r="BC43" s="576"/>
      <c r="BD43" s="576"/>
      <c r="BE43" s="576"/>
      <c r="BF43" s="576"/>
      <c r="BG43" s="576"/>
      <c r="BH43" s="576"/>
      <c r="BI43" s="576"/>
      <c r="BJ43" s="576"/>
      <c r="BK43" s="576"/>
      <c r="BL43" s="576"/>
      <c r="BM43" s="576"/>
    </row>
    <row r="44" s="577" customFormat="1" ht="16.35" customHeight="1" outlineLevel="3" spans="1:65">
      <c r="A44" s="591"/>
      <c r="B44" s="598" t="s">
        <v>766</v>
      </c>
      <c r="C44" s="599" t="s">
        <v>622</v>
      </c>
      <c r="D44" s="602" t="s">
        <v>767</v>
      </c>
      <c r="E44" s="602"/>
      <c r="F44" s="603"/>
      <c r="G44" s="603"/>
      <c r="H44" s="603"/>
      <c r="I44" s="603"/>
      <c r="J44" s="603"/>
      <c r="K44" s="640">
        <v>0</v>
      </c>
      <c r="L44" s="601">
        <v>0</v>
      </c>
      <c r="M44" s="601">
        <v>0</v>
      </c>
      <c r="N44" s="635">
        <v>0</v>
      </c>
      <c r="O44" s="641"/>
      <c r="P44" s="642"/>
      <c r="Q44" s="666">
        <v>0</v>
      </c>
      <c r="R44" s="666">
        <v>0</v>
      </c>
      <c r="S44" s="666">
        <v>0</v>
      </c>
      <c r="T44" s="666">
        <v>0</v>
      </c>
      <c r="U44" s="666">
        <v>0</v>
      </c>
      <c r="V44" s="666">
        <v>0</v>
      </c>
      <c r="W44" s="673"/>
      <c r="X44" s="674"/>
      <c r="Y44" s="674"/>
      <c r="Z44" s="696"/>
      <c r="AA44" s="697"/>
      <c r="AB44" s="576"/>
      <c r="AC44" s="576"/>
      <c r="AD44" s="576"/>
      <c r="AE44" s="576"/>
      <c r="AF44" s="576"/>
      <c r="AG44" s="576"/>
      <c r="AH44" s="576"/>
      <c r="AI44" s="576"/>
      <c r="AJ44" s="576"/>
      <c r="AK44" s="576"/>
      <c r="AL44" s="576"/>
      <c r="AM44" s="576"/>
      <c r="AN44" s="576"/>
      <c r="AO44" s="576"/>
      <c r="AP44" s="576"/>
      <c r="AQ44" s="576"/>
      <c r="AR44" s="576"/>
      <c r="AS44" s="576"/>
      <c r="AT44" s="576"/>
      <c r="AU44" s="576"/>
      <c r="AV44" s="576"/>
      <c r="AW44" s="576"/>
      <c r="AX44" s="576"/>
      <c r="AY44" s="576"/>
      <c r="AZ44" s="576"/>
      <c r="BA44" s="576"/>
      <c r="BB44" s="576"/>
      <c r="BC44" s="576"/>
      <c r="BD44" s="576"/>
      <c r="BE44" s="576"/>
      <c r="BF44" s="576"/>
      <c r="BG44" s="576"/>
      <c r="BH44" s="576"/>
      <c r="BI44" s="576"/>
      <c r="BJ44" s="576"/>
      <c r="BK44" s="576"/>
      <c r="BL44" s="576"/>
      <c r="BM44" s="576"/>
    </row>
    <row r="45" s="577" customFormat="1" ht="16.35" customHeight="1" outlineLevel="3" spans="1:65">
      <c r="A45" s="591"/>
      <c r="B45" s="598" t="s">
        <v>768</v>
      </c>
      <c r="C45" s="599" t="s">
        <v>622</v>
      </c>
      <c r="D45" s="602" t="s">
        <v>769</v>
      </c>
      <c r="E45" s="602"/>
      <c r="F45" s="603"/>
      <c r="G45" s="603"/>
      <c r="H45" s="603"/>
      <c r="I45" s="603"/>
      <c r="J45" s="603"/>
      <c r="K45" s="640">
        <v>0</v>
      </c>
      <c r="L45" s="601">
        <v>0</v>
      </c>
      <c r="M45" s="601">
        <v>0</v>
      </c>
      <c r="N45" s="635">
        <v>0</v>
      </c>
      <c r="O45" s="641"/>
      <c r="P45" s="642"/>
      <c r="Q45" s="666">
        <v>0</v>
      </c>
      <c r="R45" s="666">
        <v>0</v>
      </c>
      <c r="S45" s="666">
        <v>0</v>
      </c>
      <c r="T45" s="666">
        <v>0</v>
      </c>
      <c r="U45" s="666">
        <v>0</v>
      </c>
      <c r="V45" s="666">
        <v>0</v>
      </c>
      <c r="W45" s="673"/>
      <c r="X45" s="674"/>
      <c r="Y45" s="674"/>
      <c r="Z45" s="696"/>
      <c r="AA45" s="697"/>
      <c r="AB45" s="576"/>
      <c r="AC45" s="576"/>
      <c r="AD45" s="576"/>
      <c r="AE45" s="576"/>
      <c r="AF45" s="576"/>
      <c r="AG45" s="576"/>
      <c r="AH45" s="576"/>
      <c r="AI45" s="576"/>
      <c r="AJ45" s="576"/>
      <c r="AK45" s="576"/>
      <c r="AL45" s="576"/>
      <c r="AM45" s="576"/>
      <c r="AN45" s="576"/>
      <c r="AO45" s="576"/>
      <c r="AP45" s="576"/>
      <c r="AQ45" s="576"/>
      <c r="AR45" s="576"/>
      <c r="AS45" s="576"/>
      <c r="AT45" s="576"/>
      <c r="AU45" s="576"/>
      <c r="AV45" s="576"/>
      <c r="AW45" s="576"/>
      <c r="AX45" s="576"/>
      <c r="AY45" s="576"/>
      <c r="AZ45" s="576"/>
      <c r="BA45" s="576"/>
      <c r="BB45" s="576"/>
      <c r="BC45" s="576"/>
      <c r="BD45" s="576"/>
      <c r="BE45" s="576"/>
      <c r="BF45" s="576"/>
      <c r="BG45" s="576"/>
      <c r="BH45" s="576"/>
      <c r="BI45" s="576"/>
      <c r="BJ45" s="576"/>
      <c r="BK45" s="576"/>
      <c r="BL45" s="576"/>
      <c r="BM45" s="576"/>
    </row>
    <row r="46" s="577" customFormat="1" ht="16.35" customHeight="1" outlineLevel="2" collapsed="1" spans="1:65">
      <c r="A46" s="591"/>
      <c r="B46" s="604" t="s">
        <v>1489</v>
      </c>
      <c r="C46" s="605"/>
      <c r="D46" s="606" t="s">
        <v>1489</v>
      </c>
      <c r="E46" s="606"/>
      <c r="F46" s="607" t="s">
        <v>1489</v>
      </c>
      <c r="G46" s="607" t="s">
        <v>1489</v>
      </c>
      <c r="H46" s="607" t="s">
        <v>1489</v>
      </c>
      <c r="I46" s="607" t="s">
        <v>1489</v>
      </c>
      <c r="J46" s="643" t="s">
        <v>1489</v>
      </c>
      <c r="K46" s="643" t="s">
        <v>1489</v>
      </c>
      <c r="L46" s="643" t="s">
        <v>1489</v>
      </c>
      <c r="M46" s="643" t="s">
        <v>1489</v>
      </c>
      <c r="N46" s="643" t="s">
        <v>1489</v>
      </c>
      <c r="O46" s="643"/>
      <c r="P46" s="644" t="s">
        <v>1489</v>
      </c>
      <c r="Q46" s="666"/>
      <c r="R46" s="666"/>
      <c r="S46" s="666"/>
      <c r="T46" s="666"/>
      <c r="U46" s="666"/>
      <c r="V46" s="666"/>
      <c r="W46" s="675" t="s">
        <v>1489</v>
      </c>
      <c r="X46" s="643" t="s">
        <v>1489</v>
      </c>
      <c r="Y46" s="643" t="s">
        <v>1489</v>
      </c>
      <c r="Z46" s="698"/>
      <c r="AA46" s="699" t="s">
        <v>1489</v>
      </c>
      <c r="AB46" s="576"/>
      <c r="AC46" s="576"/>
      <c r="AD46" s="576"/>
      <c r="AE46" s="576"/>
      <c r="AF46" s="576"/>
      <c r="AG46" s="576"/>
      <c r="AH46" s="576"/>
      <c r="AI46" s="576"/>
      <c r="AJ46" s="576"/>
      <c r="AK46" s="576"/>
      <c r="AL46" s="576"/>
      <c r="AM46" s="576"/>
      <c r="AN46" s="576"/>
      <c r="AO46" s="576"/>
      <c r="AP46" s="576"/>
      <c r="AQ46" s="576"/>
      <c r="AR46" s="576"/>
      <c r="AS46" s="576"/>
      <c r="AT46" s="576"/>
      <c r="AU46" s="576"/>
      <c r="AV46" s="576"/>
      <c r="AW46" s="576"/>
      <c r="AX46" s="576"/>
      <c r="AY46" s="576"/>
      <c r="AZ46" s="576"/>
      <c r="BA46" s="576"/>
      <c r="BB46" s="576"/>
      <c r="BC46" s="576"/>
      <c r="BD46" s="576"/>
      <c r="BE46" s="576"/>
      <c r="BF46" s="576"/>
      <c r="BG46" s="576"/>
      <c r="BH46" s="576"/>
      <c r="BI46" s="576"/>
      <c r="BJ46" s="576"/>
      <c r="BK46" s="576"/>
      <c r="BL46" s="576"/>
      <c r="BM46" s="576"/>
    </row>
    <row r="47" s="576" customFormat="1" ht="16.35" customHeight="1" spans="1:27">
      <c r="A47" s="591"/>
      <c r="B47" s="592" t="s">
        <v>1490</v>
      </c>
      <c r="C47" s="593" t="s">
        <v>522</v>
      </c>
      <c r="D47" s="468" t="s">
        <v>1491</v>
      </c>
      <c r="E47" s="468"/>
      <c r="F47" s="594"/>
      <c r="G47" s="594"/>
      <c r="H47" s="594"/>
      <c r="I47" s="594"/>
      <c r="J47" s="594"/>
      <c r="K47" s="594"/>
      <c r="L47" s="629">
        <v>0</v>
      </c>
      <c r="M47" s="629">
        <v>0</v>
      </c>
      <c r="N47" s="629">
        <v>0</v>
      </c>
      <c r="O47" s="630"/>
      <c r="P47" s="631"/>
      <c r="Q47" s="676">
        <v>581.7</v>
      </c>
      <c r="R47" s="676">
        <v>63.987</v>
      </c>
      <c r="S47" s="676">
        <v>0</v>
      </c>
      <c r="T47" s="676">
        <v>0</v>
      </c>
      <c r="U47" s="676">
        <v>0</v>
      </c>
      <c r="V47" s="676">
        <v>0</v>
      </c>
      <c r="W47" s="676">
        <v>645.687</v>
      </c>
      <c r="X47" s="677">
        <v>0</v>
      </c>
      <c r="Y47" s="677">
        <v>0</v>
      </c>
      <c r="Z47" s="677">
        <v>0</v>
      </c>
      <c r="AA47" s="693"/>
    </row>
    <row r="48" s="576" customFormat="1" ht="18" customHeight="1" outlineLevel="1" spans="1:27">
      <c r="A48" s="591"/>
      <c r="B48" s="608" t="s">
        <v>523</v>
      </c>
      <c r="C48" s="596">
        <v>1</v>
      </c>
      <c r="D48" s="609" t="s">
        <v>524</v>
      </c>
      <c r="E48" s="609"/>
      <c r="F48" s="185"/>
      <c r="G48" s="185"/>
      <c r="H48" s="185"/>
      <c r="I48" s="185"/>
      <c r="J48" s="185"/>
      <c r="K48" s="185"/>
      <c r="L48" s="645">
        <v>0</v>
      </c>
      <c r="M48" s="645">
        <v>0</v>
      </c>
      <c r="N48" s="645">
        <v>0</v>
      </c>
      <c r="O48" s="632"/>
      <c r="P48" s="633" t="s">
        <v>1452</v>
      </c>
      <c r="Q48" s="678">
        <v>0</v>
      </c>
      <c r="R48" s="678">
        <v>0</v>
      </c>
      <c r="S48" s="678">
        <v>0</v>
      </c>
      <c r="T48" s="678">
        <v>0</v>
      </c>
      <c r="U48" s="678">
        <v>0</v>
      </c>
      <c r="V48" s="678">
        <v>0</v>
      </c>
      <c r="W48" s="678">
        <v>0</v>
      </c>
      <c r="X48" s="678">
        <v>0</v>
      </c>
      <c r="Y48" s="678">
        <v>0</v>
      </c>
      <c r="Z48" s="678">
        <v>0</v>
      </c>
      <c r="AA48" s="694"/>
    </row>
    <row r="49" s="577" customFormat="1" ht="14.1" customHeight="1" outlineLevel="2" spans="1:65">
      <c r="A49" s="591"/>
      <c r="B49" s="598" t="s">
        <v>770</v>
      </c>
      <c r="C49" s="599" t="s">
        <v>619</v>
      </c>
      <c r="D49" s="598" t="s">
        <v>771</v>
      </c>
      <c r="E49" s="598" t="s">
        <v>774</v>
      </c>
      <c r="F49" s="600"/>
      <c r="G49" s="600"/>
      <c r="H49" s="600"/>
      <c r="I49" s="600"/>
      <c r="J49" s="600"/>
      <c r="K49" s="600"/>
      <c r="L49" s="646">
        <v>0</v>
      </c>
      <c r="M49" s="646">
        <v>0</v>
      </c>
      <c r="N49" s="646">
        <v>0</v>
      </c>
      <c r="O49" s="647" t="s">
        <v>52</v>
      </c>
      <c r="P49" s="648"/>
      <c r="Q49" s="666">
        <v>0</v>
      </c>
      <c r="R49" s="666">
        <v>0</v>
      </c>
      <c r="S49" s="666">
        <v>0</v>
      </c>
      <c r="T49" s="666">
        <v>0</v>
      </c>
      <c r="U49" s="666">
        <v>0</v>
      </c>
      <c r="V49" s="666">
        <v>0</v>
      </c>
      <c r="W49" s="679"/>
      <c r="X49" s="655"/>
      <c r="Y49" s="655">
        <v>0</v>
      </c>
      <c r="Z49" s="700"/>
      <c r="AA49" s="695" t="s">
        <v>1492</v>
      </c>
      <c r="AB49" s="576"/>
      <c r="AC49" s="576"/>
      <c r="AD49" s="576"/>
      <c r="AE49" s="576"/>
      <c r="AF49" s="576"/>
      <c r="AG49" s="576"/>
      <c r="AH49" s="576"/>
      <c r="AI49" s="576"/>
      <c r="AJ49" s="576"/>
      <c r="AK49" s="576"/>
      <c r="AL49" s="576"/>
      <c r="AM49" s="576"/>
      <c r="AN49" s="576"/>
      <c r="AO49" s="576"/>
      <c r="AP49" s="576"/>
      <c r="AQ49" s="576"/>
      <c r="AR49" s="576"/>
      <c r="AS49" s="576"/>
      <c r="AT49" s="576"/>
      <c r="AU49" s="576"/>
      <c r="AV49" s="576"/>
      <c r="AW49" s="576"/>
      <c r="AX49" s="576"/>
      <c r="AY49" s="576"/>
      <c r="AZ49" s="576"/>
      <c r="BA49" s="576"/>
      <c r="BB49" s="576"/>
      <c r="BC49" s="576"/>
      <c r="BD49" s="576"/>
      <c r="BE49" s="576"/>
      <c r="BF49" s="576"/>
      <c r="BG49" s="576"/>
      <c r="BH49" s="576"/>
      <c r="BI49" s="576"/>
      <c r="BJ49" s="576"/>
      <c r="BK49" s="576"/>
      <c r="BL49" s="576"/>
      <c r="BM49" s="576"/>
    </row>
    <row r="50" s="577" customFormat="1" ht="14.1" customHeight="1" outlineLevel="3" spans="1:65">
      <c r="A50" s="591"/>
      <c r="B50" s="598" t="s">
        <v>1493</v>
      </c>
      <c r="C50" s="599" t="s">
        <v>622</v>
      </c>
      <c r="D50" s="598" t="s">
        <v>1494</v>
      </c>
      <c r="E50" s="598"/>
      <c r="F50" s="600"/>
      <c r="G50" s="375">
        <v>1</v>
      </c>
      <c r="H50" s="375" t="s">
        <v>655</v>
      </c>
      <c r="I50" s="649"/>
      <c r="J50" s="375">
        <v>3000</v>
      </c>
      <c r="K50" s="375"/>
      <c r="L50" s="601">
        <v>0</v>
      </c>
      <c r="M50" s="601">
        <v>0</v>
      </c>
      <c r="N50" s="635">
        <v>0</v>
      </c>
      <c r="O50" s="647"/>
      <c r="P50" s="648"/>
      <c r="Q50" s="666">
        <v>0</v>
      </c>
      <c r="R50" s="666">
        <v>0</v>
      </c>
      <c r="S50" s="666">
        <v>0</v>
      </c>
      <c r="T50" s="666">
        <v>0</v>
      </c>
      <c r="U50" s="666">
        <v>0</v>
      </c>
      <c r="V50" s="666">
        <v>0</v>
      </c>
      <c r="W50" s="679"/>
      <c r="X50" s="655"/>
      <c r="Y50" s="655">
        <v>0</v>
      </c>
      <c r="Z50" s="700"/>
      <c r="AA50" s="695" t="s">
        <v>1492</v>
      </c>
      <c r="AB50" s="576"/>
      <c r="AC50" s="576"/>
      <c r="AD50" s="576"/>
      <c r="AE50" s="576"/>
      <c r="AF50" s="576"/>
      <c r="AG50" s="576"/>
      <c r="AH50" s="576"/>
      <c r="AI50" s="576"/>
      <c r="AJ50" s="576"/>
      <c r="AK50" s="576"/>
      <c r="AL50" s="576"/>
      <c r="AM50" s="576"/>
      <c r="AN50" s="576"/>
      <c r="AO50" s="576"/>
      <c r="AP50" s="576"/>
      <c r="AQ50" s="576"/>
      <c r="AR50" s="576"/>
      <c r="AS50" s="576"/>
      <c r="AT50" s="576"/>
      <c r="AU50" s="576"/>
      <c r="AV50" s="576"/>
      <c r="AW50" s="576"/>
      <c r="AX50" s="576"/>
      <c r="AY50" s="576"/>
      <c r="AZ50" s="576"/>
      <c r="BA50" s="576"/>
      <c r="BB50" s="576"/>
      <c r="BC50" s="576"/>
      <c r="BD50" s="576"/>
      <c r="BE50" s="576"/>
      <c r="BF50" s="576"/>
      <c r="BG50" s="576"/>
      <c r="BH50" s="576"/>
      <c r="BI50" s="576"/>
      <c r="BJ50" s="576"/>
      <c r="BK50" s="576"/>
      <c r="BL50" s="576"/>
      <c r="BM50" s="576"/>
    </row>
    <row r="51" s="577" customFormat="1" ht="14.1" customHeight="1" outlineLevel="2" collapsed="1" spans="1:65">
      <c r="A51" s="591"/>
      <c r="B51" s="598" t="s">
        <v>772</v>
      </c>
      <c r="C51" s="599" t="s">
        <v>657</v>
      </c>
      <c r="D51" s="598" t="s">
        <v>773</v>
      </c>
      <c r="E51" s="610" t="s">
        <v>774</v>
      </c>
      <c r="F51" s="600"/>
      <c r="G51" s="375"/>
      <c r="H51" s="375"/>
      <c r="I51" s="375"/>
      <c r="J51" s="375"/>
      <c r="K51" s="375"/>
      <c r="L51" s="375"/>
      <c r="M51" s="375"/>
      <c r="N51" s="650"/>
      <c r="O51" s="647" t="s">
        <v>52</v>
      </c>
      <c r="P51" s="648"/>
      <c r="Q51" s="666">
        <v>0</v>
      </c>
      <c r="R51" s="666">
        <v>0</v>
      </c>
      <c r="S51" s="666">
        <v>0</v>
      </c>
      <c r="T51" s="666">
        <v>0</v>
      </c>
      <c r="U51" s="666">
        <v>0</v>
      </c>
      <c r="V51" s="666">
        <v>0</v>
      </c>
      <c r="W51" s="679"/>
      <c r="X51" s="655"/>
      <c r="Y51" s="655">
        <v>0</v>
      </c>
      <c r="Z51" s="700"/>
      <c r="AA51" s="695"/>
      <c r="AB51" s="576"/>
      <c r="AC51" s="576"/>
      <c r="AD51" s="576"/>
      <c r="AE51" s="576"/>
      <c r="AF51" s="576"/>
      <c r="AG51" s="576"/>
      <c r="AH51" s="576"/>
      <c r="AI51" s="576"/>
      <c r="AJ51" s="576"/>
      <c r="AK51" s="576"/>
      <c r="AL51" s="576"/>
      <c r="AM51" s="576"/>
      <c r="AN51" s="576"/>
      <c r="AO51" s="576"/>
      <c r="AP51" s="576"/>
      <c r="AQ51" s="576"/>
      <c r="AR51" s="576"/>
      <c r="AS51" s="576"/>
      <c r="AT51" s="576"/>
      <c r="AU51" s="576"/>
      <c r="AV51" s="576"/>
      <c r="AW51" s="576"/>
      <c r="AX51" s="576"/>
      <c r="AY51" s="576"/>
      <c r="AZ51" s="576"/>
      <c r="BA51" s="576"/>
      <c r="BB51" s="576"/>
      <c r="BC51" s="576"/>
      <c r="BD51" s="576"/>
      <c r="BE51" s="576"/>
      <c r="BF51" s="576"/>
      <c r="BG51" s="576"/>
      <c r="BH51" s="576"/>
      <c r="BI51" s="576"/>
      <c r="BJ51" s="576"/>
      <c r="BK51" s="576"/>
      <c r="BL51" s="576"/>
      <c r="BM51" s="576"/>
    </row>
    <row r="52" s="577" customFormat="1" ht="14.1" customHeight="1" outlineLevel="2" spans="1:65">
      <c r="A52" s="591"/>
      <c r="B52" s="598" t="s">
        <v>775</v>
      </c>
      <c r="C52" s="599" t="s">
        <v>762</v>
      </c>
      <c r="D52" s="598" t="s">
        <v>776</v>
      </c>
      <c r="E52" s="598" t="s">
        <v>774</v>
      </c>
      <c r="F52" s="600"/>
      <c r="G52" s="375">
        <v>1</v>
      </c>
      <c r="H52" s="375" t="s">
        <v>655</v>
      </c>
      <c r="I52" s="649"/>
      <c r="J52" s="375">
        <v>1600</v>
      </c>
      <c r="K52" s="375"/>
      <c r="L52" s="601">
        <v>0</v>
      </c>
      <c r="M52" s="601">
        <v>0</v>
      </c>
      <c r="N52" s="635">
        <v>0</v>
      </c>
      <c r="O52" s="647" t="s">
        <v>52</v>
      </c>
      <c r="P52" s="648"/>
      <c r="Q52" s="666">
        <v>0</v>
      </c>
      <c r="R52" s="666">
        <v>0</v>
      </c>
      <c r="S52" s="666">
        <v>0</v>
      </c>
      <c r="T52" s="666">
        <v>0</v>
      </c>
      <c r="U52" s="666">
        <v>0</v>
      </c>
      <c r="V52" s="666">
        <v>0</v>
      </c>
      <c r="W52" s="679"/>
      <c r="X52" s="655"/>
      <c r="Y52" s="655">
        <v>0</v>
      </c>
      <c r="Z52" s="700"/>
      <c r="AA52" s="695" t="s">
        <v>1492</v>
      </c>
      <c r="AB52" s="576"/>
      <c r="AC52" s="576"/>
      <c r="AD52" s="576"/>
      <c r="AE52" s="576"/>
      <c r="AF52" s="576"/>
      <c r="AG52" s="576"/>
      <c r="AH52" s="576"/>
      <c r="AI52" s="576"/>
      <c r="AJ52" s="576"/>
      <c r="AK52" s="576"/>
      <c r="AL52" s="576"/>
      <c r="AM52" s="576"/>
      <c r="AN52" s="576"/>
      <c r="AO52" s="576"/>
      <c r="AP52" s="576"/>
      <c r="AQ52" s="576"/>
      <c r="AR52" s="576"/>
      <c r="AS52" s="576"/>
      <c r="AT52" s="576"/>
      <c r="AU52" s="576"/>
      <c r="AV52" s="576"/>
      <c r="AW52" s="576"/>
      <c r="AX52" s="576"/>
      <c r="AY52" s="576"/>
      <c r="AZ52" s="576"/>
      <c r="BA52" s="576"/>
      <c r="BB52" s="576"/>
      <c r="BC52" s="576"/>
      <c r="BD52" s="576"/>
      <c r="BE52" s="576"/>
      <c r="BF52" s="576"/>
      <c r="BG52" s="576"/>
      <c r="BH52" s="576"/>
      <c r="BI52" s="576"/>
      <c r="BJ52" s="576"/>
      <c r="BK52" s="576"/>
      <c r="BL52" s="576"/>
      <c r="BM52" s="576"/>
    </row>
    <row r="53" s="577" customFormat="1" ht="14.1" customHeight="1" outlineLevel="2" spans="1:65">
      <c r="A53" s="591"/>
      <c r="B53" s="598" t="s">
        <v>777</v>
      </c>
      <c r="C53" s="599" t="s">
        <v>778</v>
      </c>
      <c r="D53" s="598" t="s">
        <v>779</v>
      </c>
      <c r="E53" s="598" t="s">
        <v>1350</v>
      </c>
      <c r="F53" s="600"/>
      <c r="G53" s="375">
        <v>1</v>
      </c>
      <c r="H53" s="375" t="s">
        <v>655</v>
      </c>
      <c r="I53" s="649"/>
      <c r="J53" s="375">
        <v>700</v>
      </c>
      <c r="K53" s="375"/>
      <c r="L53" s="601">
        <v>0</v>
      </c>
      <c r="M53" s="601">
        <v>0</v>
      </c>
      <c r="N53" s="635">
        <v>0</v>
      </c>
      <c r="O53" s="647" t="s">
        <v>1469</v>
      </c>
      <c r="P53" s="648"/>
      <c r="Q53" s="666">
        <v>0</v>
      </c>
      <c r="R53" s="666">
        <v>0</v>
      </c>
      <c r="S53" s="666">
        <v>0</v>
      </c>
      <c r="T53" s="666">
        <v>0</v>
      </c>
      <c r="U53" s="666">
        <v>0</v>
      </c>
      <c r="V53" s="666">
        <v>0</v>
      </c>
      <c r="W53" s="679">
        <v>0</v>
      </c>
      <c r="X53" s="655"/>
      <c r="Y53" s="655"/>
      <c r="Z53" s="700"/>
      <c r="AA53" s="695" t="s">
        <v>1492</v>
      </c>
      <c r="AB53" s="576"/>
      <c r="AC53" s="576"/>
      <c r="AD53" s="576"/>
      <c r="AE53" s="576"/>
      <c r="AF53" s="576"/>
      <c r="AG53" s="576"/>
      <c r="AH53" s="576"/>
      <c r="AI53" s="576"/>
      <c r="AJ53" s="576"/>
      <c r="AK53" s="576"/>
      <c r="AL53" s="576"/>
      <c r="AM53" s="576"/>
      <c r="AN53" s="576"/>
      <c r="AO53" s="576"/>
      <c r="AP53" s="576"/>
      <c r="AQ53" s="576"/>
      <c r="AR53" s="576"/>
      <c r="AS53" s="576"/>
      <c r="AT53" s="576"/>
      <c r="AU53" s="576"/>
      <c r="AV53" s="576"/>
      <c r="AW53" s="576"/>
      <c r="AX53" s="576"/>
      <c r="AY53" s="576"/>
      <c r="AZ53" s="576"/>
      <c r="BA53" s="576"/>
      <c r="BB53" s="576"/>
      <c r="BC53" s="576"/>
      <c r="BD53" s="576"/>
      <c r="BE53" s="576"/>
      <c r="BF53" s="576"/>
      <c r="BG53" s="576"/>
      <c r="BH53" s="576"/>
      <c r="BI53" s="576"/>
      <c r="BJ53" s="576"/>
      <c r="BK53" s="576"/>
      <c r="BL53" s="576"/>
      <c r="BM53" s="576"/>
    </row>
    <row r="54" s="577" customFormat="1" ht="14.1" customHeight="1" outlineLevel="2" spans="1:65">
      <c r="A54" s="591"/>
      <c r="B54" s="598" t="s">
        <v>780</v>
      </c>
      <c r="C54" s="599" t="s">
        <v>781</v>
      </c>
      <c r="D54" s="598" t="s">
        <v>782</v>
      </c>
      <c r="E54" s="598" t="s">
        <v>774</v>
      </c>
      <c r="F54" s="600"/>
      <c r="G54" s="600"/>
      <c r="H54" s="600"/>
      <c r="I54" s="600"/>
      <c r="J54" s="600"/>
      <c r="K54" s="375"/>
      <c r="L54" s="651">
        <v>0</v>
      </c>
      <c r="M54" s="651">
        <v>0</v>
      </c>
      <c r="N54" s="651">
        <v>0</v>
      </c>
      <c r="O54" s="647" t="s">
        <v>52</v>
      </c>
      <c r="P54" s="648"/>
      <c r="Q54" s="666">
        <v>0</v>
      </c>
      <c r="R54" s="666">
        <v>0</v>
      </c>
      <c r="S54" s="666">
        <v>0</v>
      </c>
      <c r="T54" s="666">
        <v>0</v>
      </c>
      <c r="U54" s="666">
        <v>0</v>
      </c>
      <c r="V54" s="666">
        <v>0</v>
      </c>
      <c r="W54" s="679"/>
      <c r="X54" s="655"/>
      <c r="Y54" s="655">
        <v>0</v>
      </c>
      <c r="Z54" s="700"/>
      <c r="AA54" s="695" t="s">
        <v>1492</v>
      </c>
      <c r="AB54" s="576"/>
      <c r="AC54" s="576"/>
      <c r="AD54" s="576"/>
      <c r="AE54" s="576"/>
      <c r="AF54" s="576"/>
      <c r="AG54" s="576"/>
      <c r="AH54" s="576"/>
      <c r="AI54" s="576"/>
      <c r="AJ54" s="576"/>
      <c r="AK54" s="576"/>
      <c r="AL54" s="576"/>
      <c r="AM54" s="576"/>
      <c r="AN54" s="576"/>
      <c r="AO54" s="576"/>
      <c r="AP54" s="576"/>
      <c r="AQ54" s="576"/>
      <c r="AR54" s="576"/>
      <c r="AS54" s="576"/>
      <c r="AT54" s="576"/>
      <c r="AU54" s="576"/>
      <c r="AV54" s="576"/>
      <c r="AW54" s="576"/>
      <c r="AX54" s="576"/>
      <c r="AY54" s="576"/>
      <c r="AZ54" s="576"/>
      <c r="BA54" s="576"/>
      <c r="BB54" s="576"/>
      <c r="BC54" s="576"/>
      <c r="BD54" s="576"/>
      <c r="BE54" s="576"/>
      <c r="BF54" s="576"/>
      <c r="BG54" s="576"/>
      <c r="BH54" s="576"/>
      <c r="BI54" s="576"/>
      <c r="BJ54" s="576"/>
      <c r="BK54" s="576"/>
      <c r="BL54" s="576"/>
      <c r="BM54" s="576"/>
    </row>
    <row r="55" s="577" customFormat="1" ht="14.1" customHeight="1" outlineLevel="3" spans="1:65">
      <c r="A55" s="591"/>
      <c r="B55" s="598" t="s">
        <v>783</v>
      </c>
      <c r="C55" s="599" t="s">
        <v>622</v>
      </c>
      <c r="D55" s="611" t="s">
        <v>784</v>
      </c>
      <c r="E55" s="611"/>
      <c r="F55" s="612"/>
      <c r="G55" s="375">
        <v>1</v>
      </c>
      <c r="H55" s="375" t="s">
        <v>655</v>
      </c>
      <c r="I55" s="649"/>
      <c r="J55" s="375">
        <v>3500</v>
      </c>
      <c r="K55" s="375"/>
      <c r="L55" s="601">
        <v>0</v>
      </c>
      <c r="M55" s="601">
        <v>0</v>
      </c>
      <c r="N55" s="635">
        <v>0</v>
      </c>
      <c r="O55" s="652"/>
      <c r="P55" s="653"/>
      <c r="Q55" s="666">
        <v>0</v>
      </c>
      <c r="R55" s="666">
        <v>0</v>
      </c>
      <c r="S55" s="666">
        <v>0</v>
      </c>
      <c r="T55" s="666">
        <v>0</v>
      </c>
      <c r="U55" s="666">
        <v>0</v>
      </c>
      <c r="V55" s="666">
        <v>0</v>
      </c>
      <c r="W55" s="679"/>
      <c r="X55" s="655"/>
      <c r="Y55" s="655">
        <v>0</v>
      </c>
      <c r="Z55" s="701"/>
      <c r="AA55" s="697"/>
      <c r="AB55" s="576"/>
      <c r="AC55" s="576"/>
      <c r="AD55" s="576"/>
      <c r="AE55" s="576"/>
      <c r="AF55" s="576"/>
      <c r="AG55" s="576"/>
      <c r="AH55" s="576"/>
      <c r="AI55" s="576"/>
      <c r="AJ55" s="576"/>
      <c r="AK55" s="576"/>
      <c r="AL55" s="576"/>
      <c r="AM55" s="576"/>
      <c r="AN55" s="576"/>
      <c r="AO55" s="576"/>
      <c r="AP55" s="576"/>
      <c r="AQ55" s="576"/>
      <c r="AR55" s="576"/>
      <c r="AS55" s="576"/>
      <c r="AT55" s="576"/>
      <c r="AU55" s="576"/>
      <c r="AV55" s="576"/>
      <c r="AW55" s="576"/>
      <c r="AX55" s="576"/>
      <c r="AY55" s="576"/>
      <c r="AZ55" s="576"/>
      <c r="BA55" s="576"/>
      <c r="BB55" s="576"/>
      <c r="BC55" s="576"/>
      <c r="BD55" s="576"/>
      <c r="BE55" s="576"/>
      <c r="BF55" s="576"/>
      <c r="BG55" s="576"/>
      <c r="BH55" s="576"/>
      <c r="BI55" s="576"/>
      <c r="BJ55" s="576"/>
      <c r="BK55" s="576"/>
      <c r="BL55" s="576"/>
      <c r="BM55" s="576"/>
    </row>
    <row r="56" s="577" customFormat="1" ht="14.1" customHeight="1" outlineLevel="3" spans="1:65">
      <c r="A56" s="591"/>
      <c r="B56" s="598" t="s">
        <v>785</v>
      </c>
      <c r="C56" s="599" t="s">
        <v>622</v>
      </c>
      <c r="D56" s="611" t="s">
        <v>786</v>
      </c>
      <c r="E56" s="611"/>
      <c r="F56" s="612"/>
      <c r="G56" s="612"/>
      <c r="H56" s="612"/>
      <c r="I56" s="612"/>
      <c r="J56" s="612"/>
      <c r="K56" s="375"/>
      <c r="L56" s="612"/>
      <c r="M56" s="612"/>
      <c r="N56" s="654"/>
      <c r="O56" s="652"/>
      <c r="P56" s="653"/>
      <c r="Q56" s="666">
        <v>0</v>
      </c>
      <c r="R56" s="666">
        <v>0</v>
      </c>
      <c r="S56" s="666">
        <v>0</v>
      </c>
      <c r="T56" s="666">
        <v>0</v>
      </c>
      <c r="U56" s="666">
        <v>0</v>
      </c>
      <c r="V56" s="666">
        <v>0</v>
      </c>
      <c r="W56" s="679"/>
      <c r="X56" s="655"/>
      <c r="Y56" s="655">
        <v>0</v>
      </c>
      <c r="Z56" s="701"/>
      <c r="AA56" s="697"/>
      <c r="AB56" s="576"/>
      <c r="AC56" s="576"/>
      <c r="AD56" s="576"/>
      <c r="AE56" s="576"/>
      <c r="AF56" s="576"/>
      <c r="AG56" s="576"/>
      <c r="AH56" s="576"/>
      <c r="AI56" s="576"/>
      <c r="AJ56" s="576"/>
      <c r="AK56" s="576"/>
      <c r="AL56" s="576"/>
      <c r="AM56" s="576"/>
      <c r="AN56" s="576"/>
      <c r="AO56" s="576"/>
      <c r="AP56" s="576"/>
      <c r="AQ56" s="576"/>
      <c r="AR56" s="576"/>
      <c r="AS56" s="576"/>
      <c r="AT56" s="576"/>
      <c r="AU56" s="576"/>
      <c r="AV56" s="576"/>
      <c r="AW56" s="576"/>
      <c r="AX56" s="576"/>
      <c r="AY56" s="576"/>
      <c r="AZ56" s="576"/>
      <c r="BA56" s="576"/>
      <c r="BB56" s="576"/>
      <c r="BC56" s="576"/>
      <c r="BD56" s="576"/>
      <c r="BE56" s="576"/>
      <c r="BF56" s="576"/>
      <c r="BG56" s="576"/>
      <c r="BH56" s="576"/>
      <c r="BI56" s="576"/>
      <c r="BJ56" s="576"/>
      <c r="BK56" s="576"/>
      <c r="BL56" s="576"/>
      <c r="BM56" s="576"/>
    </row>
    <row r="57" s="577" customFormat="1" ht="11.25" outlineLevel="2" collapsed="1" spans="1:65">
      <c r="A57" s="591"/>
      <c r="B57" s="598" t="s">
        <v>787</v>
      </c>
      <c r="C57" s="599" t="s">
        <v>788</v>
      </c>
      <c r="D57" s="598" t="s">
        <v>789</v>
      </c>
      <c r="E57" s="598"/>
      <c r="F57" s="600"/>
      <c r="G57" s="600"/>
      <c r="H57" s="600"/>
      <c r="I57" s="600"/>
      <c r="J57" s="600"/>
      <c r="K57" s="375"/>
      <c r="L57" s="600"/>
      <c r="M57" s="600"/>
      <c r="N57" s="651"/>
      <c r="O57" s="647"/>
      <c r="P57" s="648"/>
      <c r="Q57" s="666">
        <v>0</v>
      </c>
      <c r="R57" s="666">
        <v>0</v>
      </c>
      <c r="S57" s="666">
        <v>0</v>
      </c>
      <c r="T57" s="666">
        <v>0</v>
      </c>
      <c r="U57" s="666">
        <v>0</v>
      </c>
      <c r="V57" s="666">
        <v>0</v>
      </c>
      <c r="W57" s="679"/>
      <c r="X57" s="655"/>
      <c r="Y57" s="655">
        <v>0</v>
      </c>
      <c r="Z57" s="700"/>
      <c r="AA57" s="695"/>
      <c r="AB57" s="576"/>
      <c r="AC57" s="576"/>
      <c r="AD57" s="576"/>
      <c r="AE57" s="576"/>
      <c r="AF57" s="576"/>
      <c r="AG57" s="576"/>
      <c r="AH57" s="576"/>
      <c r="AI57" s="576"/>
      <c r="AJ57" s="576"/>
      <c r="AK57" s="576"/>
      <c r="AL57" s="576"/>
      <c r="AM57" s="576"/>
      <c r="AN57" s="576"/>
      <c r="AO57" s="576"/>
      <c r="AP57" s="576"/>
      <c r="AQ57" s="576"/>
      <c r="AR57" s="576"/>
      <c r="AS57" s="576"/>
      <c r="AT57" s="576"/>
      <c r="AU57" s="576"/>
      <c r="AV57" s="576"/>
      <c r="AW57" s="576"/>
      <c r="AX57" s="576"/>
      <c r="AY57" s="576"/>
      <c r="AZ57" s="576"/>
      <c r="BA57" s="576"/>
      <c r="BB57" s="576"/>
      <c r="BC57" s="576"/>
      <c r="BD57" s="576"/>
      <c r="BE57" s="576"/>
      <c r="BF57" s="576"/>
      <c r="BG57" s="576"/>
      <c r="BH57" s="576"/>
      <c r="BI57" s="576"/>
      <c r="BJ57" s="576"/>
      <c r="BK57" s="576"/>
      <c r="BL57" s="576"/>
      <c r="BM57" s="576"/>
    </row>
    <row r="58" s="577" customFormat="1" ht="14.1" customHeight="1" outlineLevel="2" spans="1:65">
      <c r="A58" s="591"/>
      <c r="B58" s="598" t="s">
        <v>790</v>
      </c>
      <c r="C58" s="599" t="s">
        <v>791</v>
      </c>
      <c r="D58" s="598" t="s">
        <v>792</v>
      </c>
      <c r="E58" s="598"/>
      <c r="F58" s="600"/>
      <c r="G58" s="600"/>
      <c r="H58" s="600"/>
      <c r="I58" s="600"/>
      <c r="J58" s="600"/>
      <c r="K58" s="375"/>
      <c r="L58" s="600"/>
      <c r="M58" s="600"/>
      <c r="N58" s="651"/>
      <c r="O58" s="647"/>
      <c r="P58" s="648"/>
      <c r="Q58" s="666">
        <v>0</v>
      </c>
      <c r="R58" s="666">
        <v>0</v>
      </c>
      <c r="S58" s="666">
        <v>0</v>
      </c>
      <c r="T58" s="666">
        <v>0</v>
      </c>
      <c r="U58" s="666">
        <v>0</v>
      </c>
      <c r="V58" s="666">
        <v>0</v>
      </c>
      <c r="W58" s="679"/>
      <c r="X58" s="655"/>
      <c r="Y58" s="655">
        <v>0</v>
      </c>
      <c r="Z58" s="700"/>
      <c r="AA58" s="695"/>
      <c r="AB58" s="576"/>
      <c r="AC58" s="576"/>
      <c r="AD58" s="576"/>
      <c r="AE58" s="576"/>
      <c r="AF58" s="576"/>
      <c r="AG58" s="576"/>
      <c r="AH58" s="576"/>
      <c r="AI58" s="576"/>
      <c r="AJ58" s="576"/>
      <c r="AK58" s="576"/>
      <c r="AL58" s="576"/>
      <c r="AM58" s="576"/>
      <c r="AN58" s="576"/>
      <c r="AO58" s="576"/>
      <c r="AP58" s="576"/>
      <c r="AQ58" s="576"/>
      <c r="AR58" s="576"/>
      <c r="AS58" s="576"/>
      <c r="AT58" s="576"/>
      <c r="AU58" s="576"/>
      <c r="AV58" s="576"/>
      <c r="AW58" s="576"/>
      <c r="AX58" s="576"/>
      <c r="AY58" s="576"/>
      <c r="AZ58" s="576"/>
      <c r="BA58" s="576"/>
      <c r="BB58" s="576"/>
      <c r="BC58" s="576"/>
      <c r="BD58" s="576"/>
      <c r="BE58" s="576"/>
      <c r="BF58" s="576"/>
      <c r="BG58" s="576"/>
      <c r="BH58" s="576"/>
      <c r="BI58" s="576"/>
      <c r="BJ58" s="576"/>
      <c r="BK58" s="576"/>
      <c r="BL58" s="576"/>
      <c r="BM58" s="576"/>
    </row>
    <row r="59" s="577" customFormat="1" ht="14.1" customHeight="1" outlineLevel="2" spans="1:65">
      <c r="A59" s="591"/>
      <c r="B59" s="598" t="s">
        <v>793</v>
      </c>
      <c r="C59" s="599" t="s">
        <v>794</v>
      </c>
      <c r="D59" s="613" t="s">
        <v>795</v>
      </c>
      <c r="E59" s="613" t="s">
        <v>774</v>
      </c>
      <c r="F59" s="600"/>
      <c r="G59" s="375">
        <v>1</v>
      </c>
      <c r="H59" s="375" t="s">
        <v>655</v>
      </c>
      <c r="I59" s="649"/>
      <c r="J59" s="375">
        <v>3800</v>
      </c>
      <c r="K59" s="375"/>
      <c r="L59" s="601">
        <v>0</v>
      </c>
      <c r="M59" s="601">
        <v>0</v>
      </c>
      <c r="N59" s="635">
        <v>0</v>
      </c>
      <c r="O59" s="647" t="s">
        <v>52</v>
      </c>
      <c r="P59" s="648"/>
      <c r="Q59" s="666">
        <v>0</v>
      </c>
      <c r="R59" s="666">
        <v>0</v>
      </c>
      <c r="S59" s="666">
        <v>0</v>
      </c>
      <c r="T59" s="666">
        <v>0</v>
      </c>
      <c r="U59" s="666">
        <v>0</v>
      </c>
      <c r="V59" s="666">
        <v>0</v>
      </c>
      <c r="W59" s="679"/>
      <c r="X59" s="655"/>
      <c r="Y59" s="655">
        <v>0</v>
      </c>
      <c r="Z59" s="700"/>
      <c r="AA59" s="695" t="s">
        <v>1492</v>
      </c>
      <c r="AB59" s="576"/>
      <c r="AC59" s="576"/>
      <c r="AD59" s="576"/>
      <c r="AE59" s="576"/>
      <c r="AF59" s="576"/>
      <c r="AG59" s="576"/>
      <c r="AH59" s="576"/>
      <c r="AI59" s="576"/>
      <c r="AJ59" s="576"/>
      <c r="AK59" s="576"/>
      <c r="AL59" s="576"/>
      <c r="AM59" s="576"/>
      <c r="AN59" s="576"/>
      <c r="AO59" s="576"/>
      <c r="AP59" s="576"/>
      <c r="AQ59" s="576"/>
      <c r="AR59" s="576"/>
      <c r="AS59" s="576"/>
      <c r="AT59" s="576"/>
      <c r="AU59" s="576"/>
      <c r="AV59" s="576"/>
      <c r="AW59" s="576"/>
      <c r="AX59" s="576"/>
      <c r="AY59" s="576"/>
      <c r="AZ59" s="576"/>
      <c r="BA59" s="576"/>
      <c r="BB59" s="576"/>
      <c r="BC59" s="576"/>
      <c r="BD59" s="576"/>
      <c r="BE59" s="576"/>
      <c r="BF59" s="576"/>
      <c r="BG59" s="576"/>
      <c r="BH59" s="576"/>
      <c r="BI59" s="576"/>
      <c r="BJ59" s="576"/>
      <c r="BK59" s="576"/>
      <c r="BL59" s="576"/>
      <c r="BM59" s="576"/>
    </row>
    <row r="60" s="577" customFormat="1" ht="14.1" customHeight="1" outlineLevel="2" spans="1:65">
      <c r="A60" s="591"/>
      <c r="B60" s="598" t="s">
        <v>796</v>
      </c>
      <c r="C60" s="599" t="s">
        <v>797</v>
      </c>
      <c r="D60" s="613" t="s">
        <v>798</v>
      </c>
      <c r="E60" s="614" t="s">
        <v>774</v>
      </c>
      <c r="F60" s="600"/>
      <c r="G60" s="601"/>
      <c r="H60" s="600"/>
      <c r="I60" s="601"/>
      <c r="J60" s="601"/>
      <c r="K60" s="375"/>
      <c r="L60" s="601"/>
      <c r="M60" s="601"/>
      <c r="N60" s="655"/>
      <c r="O60" s="647" t="s">
        <v>52</v>
      </c>
      <c r="P60" s="648"/>
      <c r="Q60" s="666">
        <v>0</v>
      </c>
      <c r="R60" s="666">
        <v>0</v>
      </c>
      <c r="S60" s="666">
        <v>0</v>
      </c>
      <c r="T60" s="666">
        <v>0</v>
      </c>
      <c r="U60" s="666">
        <v>0</v>
      </c>
      <c r="V60" s="666">
        <v>0</v>
      </c>
      <c r="W60" s="679"/>
      <c r="X60" s="655"/>
      <c r="Y60" s="655">
        <v>0</v>
      </c>
      <c r="Z60" s="700"/>
      <c r="AA60" s="695"/>
      <c r="AB60" s="576"/>
      <c r="AC60" s="576"/>
      <c r="AD60" s="576"/>
      <c r="AE60" s="576"/>
      <c r="AF60" s="576"/>
      <c r="AG60" s="576"/>
      <c r="AH60" s="576"/>
      <c r="AI60" s="576"/>
      <c r="AJ60" s="576"/>
      <c r="AK60" s="576"/>
      <c r="AL60" s="576"/>
      <c r="AM60" s="576"/>
      <c r="AN60" s="576"/>
      <c r="AO60" s="576"/>
      <c r="AP60" s="576"/>
      <c r="AQ60" s="576"/>
      <c r="AR60" s="576"/>
      <c r="AS60" s="576"/>
      <c r="AT60" s="576"/>
      <c r="AU60" s="576"/>
      <c r="AV60" s="576"/>
      <c r="AW60" s="576"/>
      <c r="AX60" s="576"/>
      <c r="AY60" s="576"/>
      <c r="AZ60" s="576"/>
      <c r="BA60" s="576"/>
      <c r="BB60" s="576"/>
      <c r="BC60" s="576"/>
      <c r="BD60" s="576"/>
      <c r="BE60" s="576"/>
      <c r="BF60" s="576"/>
      <c r="BG60" s="576"/>
      <c r="BH60" s="576"/>
      <c r="BI60" s="576"/>
      <c r="BJ60" s="576"/>
      <c r="BK60" s="576"/>
      <c r="BL60" s="576"/>
      <c r="BM60" s="576"/>
    </row>
    <row r="61" s="576" customFormat="1" customHeight="1" outlineLevel="1" spans="1:27">
      <c r="A61" s="591"/>
      <c r="B61" s="608" t="s">
        <v>526</v>
      </c>
      <c r="C61" s="596">
        <v>2</v>
      </c>
      <c r="D61" s="615" t="s">
        <v>799</v>
      </c>
      <c r="E61" s="609"/>
      <c r="F61" s="185"/>
      <c r="G61" s="185"/>
      <c r="H61" s="185"/>
      <c r="I61" s="185"/>
      <c r="J61" s="185"/>
      <c r="K61" s="185"/>
      <c r="L61" s="645">
        <v>0</v>
      </c>
      <c r="M61" s="645">
        <v>0</v>
      </c>
      <c r="N61" s="645">
        <v>0</v>
      </c>
      <c r="O61" s="632"/>
      <c r="P61" s="633" t="s">
        <v>1452</v>
      </c>
      <c r="Q61" s="678">
        <v>0</v>
      </c>
      <c r="R61" s="678">
        <v>0</v>
      </c>
      <c r="S61" s="678">
        <v>0</v>
      </c>
      <c r="T61" s="678">
        <v>0</v>
      </c>
      <c r="U61" s="678">
        <v>0</v>
      </c>
      <c r="V61" s="678">
        <v>0</v>
      </c>
      <c r="W61" s="645">
        <v>0</v>
      </c>
      <c r="X61" s="645">
        <v>0</v>
      </c>
      <c r="Y61" s="645">
        <v>0</v>
      </c>
      <c r="Z61" s="645">
        <v>0</v>
      </c>
      <c r="AA61" s="694"/>
    </row>
    <row r="62" s="577" customFormat="1" ht="14.1" customHeight="1" outlineLevel="2" spans="1:65">
      <c r="A62" s="591"/>
      <c r="B62" s="598" t="s">
        <v>800</v>
      </c>
      <c r="C62" s="599" t="s">
        <v>619</v>
      </c>
      <c r="D62" s="610" t="s">
        <v>801</v>
      </c>
      <c r="E62" s="610" t="s">
        <v>774</v>
      </c>
      <c r="F62" s="601"/>
      <c r="G62" s="601"/>
      <c r="H62" s="601"/>
      <c r="I62" s="601"/>
      <c r="J62" s="601"/>
      <c r="K62" s="601"/>
      <c r="L62" s="601"/>
      <c r="M62" s="601"/>
      <c r="N62" s="646">
        <v>0</v>
      </c>
      <c r="O62" s="635" t="s">
        <v>52</v>
      </c>
      <c r="P62" s="636"/>
      <c r="Q62" s="666">
        <v>0</v>
      </c>
      <c r="R62" s="680">
        <v>0</v>
      </c>
      <c r="S62" s="681">
        <v>0</v>
      </c>
      <c r="T62" s="681">
        <v>0</v>
      </c>
      <c r="U62" s="681">
        <v>0</v>
      </c>
      <c r="V62" s="681">
        <v>0</v>
      </c>
      <c r="W62" s="679"/>
      <c r="X62" s="679"/>
      <c r="Y62" s="679">
        <v>0</v>
      </c>
      <c r="Z62" s="700"/>
      <c r="AA62" s="695"/>
      <c r="AB62" s="576"/>
      <c r="AC62" s="576"/>
      <c r="AD62" s="576"/>
      <c r="AE62" s="576"/>
      <c r="AF62" s="576"/>
      <c r="AG62" s="576"/>
      <c r="AH62" s="576"/>
      <c r="AI62" s="576"/>
      <c r="AJ62" s="576"/>
      <c r="AK62" s="576"/>
      <c r="AL62" s="576"/>
      <c r="AM62" s="576"/>
      <c r="AN62" s="576"/>
      <c r="AO62" s="576"/>
      <c r="AP62" s="576"/>
      <c r="AQ62" s="576"/>
      <c r="AR62" s="576"/>
      <c r="AS62" s="576"/>
      <c r="AT62" s="576"/>
      <c r="AU62" s="576"/>
      <c r="AV62" s="576"/>
      <c r="AW62" s="576"/>
      <c r="AX62" s="576"/>
      <c r="AY62" s="576"/>
      <c r="AZ62" s="576"/>
      <c r="BA62" s="576"/>
      <c r="BB62" s="576"/>
      <c r="BC62" s="576"/>
      <c r="BD62" s="576"/>
      <c r="BE62" s="576"/>
      <c r="BF62" s="576"/>
      <c r="BG62" s="576"/>
      <c r="BH62" s="576"/>
      <c r="BI62" s="576"/>
      <c r="BJ62" s="576"/>
      <c r="BK62" s="576"/>
      <c r="BL62" s="576"/>
      <c r="BM62" s="576"/>
    </row>
    <row r="63" s="577" customFormat="1" ht="14.1" customHeight="1" outlineLevel="3" spans="1:65">
      <c r="A63" s="591"/>
      <c r="B63" s="598" t="s">
        <v>802</v>
      </c>
      <c r="C63" s="599" t="s">
        <v>622</v>
      </c>
      <c r="D63" s="616" t="s">
        <v>803</v>
      </c>
      <c r="E63" s="613"/>
      <c r="F63" s="603"/>
      <c r="G63" s="375">
        <v>1</v>
      </c>
      <c r="H63" s="375" t="s">
        <v>655</v>
      </c>
      <c r="I63" s="375"/>
      <c r="J63" s="375">
        <v>2251.47617358706</v>
      </c>
      <c r="K63" s="656">
        <v>0.114320408751399</v>
      </c>
      <c r="L63" s="601">
        <v>0</v>
      </c>
      <c r="M63" s="601">
        <v>0</v>
      </c>
      <c r="N63" s="635">
        <v>0</v>
      </c>
      <c r="O63" s="641"/>
      <c r="P63" s="642"/>
      <c r="Q63" s="682">
        <v>0</v>
      </c>
      <c r="R63" s="683">
        <v>0</v>
      </c>
      <c r="S63" s="684">
        <v>0</v>
      </c>
      <c r="T63" s="684">
        <v>0</v>
      </c>
      <c r="U63" s="684">
        <v>0</v>
      </c>
      <c r="V63" s="684">
        <v>0</v>
      </c>
      <c r="W63" s="679"/>
      <c r="X63" s="679"/>
      <c r="Y63" s="679">
        <v>0</v>
      </c>
      <c r="Z63" s="702"/>
      <c r="AA63" s="697"/>
      <c r="AB63" s="576"/>
      <c r="AC63" s="576"/>
      <c r="AD63" s="576"/>
      <c r="AE63" s="576"/>
      <c r="AF63" s="576"/>
      <c r="AG63" s="576"/>
      <c r="AH63" s="576"/>
      <c r="AI63" s="576"/>
      <c r="AJ63" s="576"/>
      <c r="AK63" s="576"/>
      <c r="AL63" s="576"/>
      <c r="AM63" s="576"/>
      <c r="AN63" s="576"/>
      <c r="AO63" s="576"/>
      <c r="AP63" s="576"/>
      <c r="AQ63" s="576"/>
      <c r="AR63" s="576"/>
      <c r="AS63" s="576"/>
      <c r="AT63" s="576"/>
      <c r="AU63" s="576"/>
      <c r="AV63" s="576"/>
      <c r="AW63" s="576"/>
      <c r="AX63" s="576"/>
      <c r="AY63" s="576"/>
      <c r="AZ63" s="576"/>
      <c r="BA63" s="576"/>
      <c r="BB63" s="576"/>
      <c r="BC63" s="576"/>
      <c r="BD63" s="576"/>
      <c r="BE63" s="576"/>
      <c r="BF63" s="576"/>
      <c r="BG63" s="576"/>
      <c r="BH63" s="576"/>
      <c r="BI63" s="576"/>
      <c r="BJ63" s="576"/>
      <c r="BK63" s="576"/>
      <c r="BL63" s="576"/>
      <c r="BM63" s="576"/>
    </row>
    <row r="64" s="577" customFormat="1" ht="14.1" customHeight="1" outlineLevel="3" spans="1:65">
      <c r="A64" s="591"/>
      <c r="B64" s="598" t="s">
        <v>804</v>
      </c>
      <c r="C64" s="599" t="s">
        <v>622</v>
      </c>
      <c r="D64" s="616" t="s">
        <v>805</v>
      </c>
      <c r="E64" s="616"/>
      <c r="F64" s="603"/>
      <c r="G64" s="603"/>
      <c r="H64" s="603"/>
      <c r="I64" s="603"/>
      <c r="J64" s="603"/>
      <c r="K64" s="375"/>
      <c r="L64" s="603"/>
      <c r="M64" s="603"/>
      <c r="N64" s="654"/>
      <c r="O64" s="641"/>
      <c r="P64" s="642"/>
      <c r="Q64" s="685">
        <v>0</v>
      </c>
      <c r="R64" s="686">
        <v>0</v>
      </c>
      <c r="S64" s="641">
        <v>0</v>
      </c>
      <c r="T64" s="641">
        <v>0</v>
      </c>
      <c r="U64" s="641">
        <v>0</v>
      </c>
      <c r="V64" s="641">
        <v>0</v>
      </c>
      <c r="W64" s="679"/>
      <c r="X64" s="679"/>
      <c r="Y64" s="679">
        <v>0</v>
      </c>
      <c r="Z64" s="701"/>
      <c r="AA64" s="697"/>
      <c r="AB64" s="576"/>
      <c r="AC64" s="576"/>
      <c r="AD64" s="576"/>
      <c r="AE64" s="576"/>
      <c r="AF64" s="576"/>
      <c r="AG64" s="576"/>
      <c r="AH64" s="576"/>
      <c r="AI64" s="576"/>
      <c r="AJ64" s="576"/>
      <c r="AK64" s="576"/>
      <c r="AL64" s="576"/>
      <c r="AM64" s="576"/>
      <c r="AN64" s="576"/>
      <c r="AO64" s="576"/>
      <c r="AP64" s="576"/>
      <c r="AQ64" s="576"/>
      <c r="AR64" s="576"/>
      <c r="AS64" s="576"/>
      <c r="AT64" s="576"/>
      <c r="AU64" s="576"/>
      <c r="AV64" s="576"/>
      <c r="AW64" s="576"/>
      <c r="AX64" s="576"/>
      <c r="AY64" s="576"/>
      <c r="AZ64" s="576"/>
      <c r="BA64" s="576"/>
      <c r="BB64" s="576"/>
      <c r="BC64" s="576"/>
      <c r="BD64" s="576"/>
      <c r="BE64" s="576"/>
      <c r="BF64" s="576"/>
      <c r="BG64" s="576"/>
      <c r="BH64" s="576"/>
      <c r="BI64" s="576"/>
      <c r="BJ64" s="576"/>
      <c r="BK64" s="576"/>
      <c r="BL64" s="576"/>
      <c r="BM64" s="576"/>
    </row>
    <row r="65" s="577" customFormat="1" ht="14.1" customHeight="1" outlineLevel="2" spans="1:65">
      <c r="A65" s="591"/>
      <c r="B65" s="598" t="s">
        <v>806</v>
      </c>
      <c r="C65" s="599" t="s">
        <v>657</v>
      </c>
      <c r="D65" s="610" t="s">
        <v>807</v>
      </c>
      <c r="E65" s="610" t="s">
        <v>812</v>
      </c>
      <c r="F65" s="601"/>
      <c r="G65" s="601"/>
      <c r="H65" s="601"/>
      <c r="I65" s="601"/>
      <c r="J65" s="601"/>
      <c r="K65" s="601"/>
      <c r="L65" s="601"/>
      <c r="M65" s="601"/>
      <c r="N65" s="646">
        <v>0</v>
      </c>
      <c r="O65" s="635" t="s">
        <v>1469</v>
      </c>
      <c r="P65" s="636"/>
      <c r="Q65" s="666">
        <v>0</v>
      </c>
      <c r="R65" s="680">
        <v>0</v>
      </c>
      <c r="S65" s="681">
        <v>0</v>
      </c>
      <c r="T65" s="681">
        <v>0</v>
      </c>
      <c r="U65" s="681">
        <v>0</v>
      </c>
      <c r="V65" s="681">
        <v>0</v>
      </c>
      <c r="W65" s="679">
        <v>0</v>
      </c>
      <c r="X65" s="679"/>
      <c r="Y65" s="679"/>
      <c r="Z65" s="700"/>
      <c r="AA65" s="695"/>
      <c r="AB65" s="576"/>
      <c r="AC65" s="576"/>
      <c r="AD65" s="576"/>
      <c r="AE65" s="576"/>
      <c r="AF65" s="576"/>
      <c r="AG65" s="576"/>
      <c r="AH65" s="576"/>
      <c r="AI65" s="576"/>
      <c r="AJ65" s="576"/>
      <c r="AK65" s="576"/>
      <c r="AL65" s="576"/>
      <c r="AM65" s="576"/>
      <c r="AN65" s="576"/>
      <c r="AO65" s="576"/>
      <c r="AP65" s="576"/>
      <c r="AQ65" s="576"/>
      <c r="AR65" s="576"/>
      <c r="AS65" s="576"/>
      <c r="AT65" s="576"/>
      <c r="AU65" s="576"/>
      <c r="AV65" s="576"/>
      <c r="AW65" s="576"/>
      <c r="AX65" s="576"/>
      <c r="AY65" s="576"/>
      <c r="AZ65" s="576"/>
      <c r="BA65" s="576"/>
      <c r="BB65" s="576"/>
      <c r="BC65" s="576"/>
      <c r="BD65" s="576"/>
      <c r="BE65" s="576"/>
      <c r="BF65" s="576"/>
      <c r="BG65" s="576"/>
      <c r="BH65" s="576"/>
      <c r="BI65" s="576"/>
      <c r="BJ65" s="576"/>
      <c r="BK65" s="576"/>
      <c r="BL65" s="576"/>
      <c r="BM65" s="576"/>
    </row>
    <row r="66" s="577" customFormat="1" ht="21.9" customHeight="1" outlineLevel="3" spans="1:65">
      <c r="A66" s="591"/>
      <c r="B66" s="598" t="s">
        <v>808</v>
      </c>
      <c r="C66" s="599" t="s">
        <v>622</v>
      </c>
      <c r="D66" s="616" t="s">
        <v>809</v>
      </c>
      <c r="E66" s="616"/>
      <c r="F66" s="603"/>
      <c r="G66" s="375">
        <v>1</v>
      </c>
      <c r="H66" s="375" t="s">
        <v>655</v>
      </c>
      <c r="I66" s="375"/>
      <c r="J66" s="375">
        <v>450</v>
      </c>
      <c r="K66" s="656">
        <v>0.17</v>
      </c>
      <c r="L66" s="601">
        <v>0</v>
      </c>
      <c r="M66" s="601">
        <v>0</v>
      </c>
      <c r="N66" s="635">
        <v>0</v>
      </c>
      <c r="O66" s="717"/>
      <c r="P66" s="642"/>
      <c r="Q66" s="682">
        <v>0</v>
      </c>
      <c r="R66" s="683">
        <v>0</v>
      </c>
      <c r="S66" s="684">
        <v>0</v>
      </c>
      <c r="T66" s="684">
        <v>0</v>
      </c>
      <c r="U66" s="684">
        <v>0</v>
      </c>
      <c r="V66" s="684">
        <v>0</v>
      </c>
      <c r="W66" s="679"/>
      <c r="X66" s="679"/>
      <c r="Y66" s="679"/>
      <c r="Z66" s="702"/>
      <c r="AA66" s="697"/>
      <c r="AB66" s="576"/>
      <c r="AC66" s="576"/>
      <c r="AD66" s="576"/>
      <c r="AE66" s="576"/>
      <c r="AF66" s="576"/>
      <c r="AG66" s="576"/>
      <c r="AH66" s="576"/>
      <c r="AI66" s="576"/>
      <c r="AJ66" s="576"/>
      <c r="AK66" s="576"/>
      <c r="AL66" s="576"/>
      <c r="AM66" s="576"/>
      <c r="AN66" s="576"/>
      <c r="AO66" s="576"/>
      <c r="AP66" s="576"/>
      <c r="AQ66" s="576"/>
      <c r="AR66" s="576"/>
      <c r="AS66" s="576"/>
      <c r="AT66" s="576"/>
      <c r="AU66" s="576"/>
      <c r="AV66" s="576"/>
      <c r="AW66" s="576"/>
      <c r="AX66" s="576"/>
      <c r="AY66" s="576"/>
      <c r="AZ66" s="576"/>
      <c r="BA66" s="576"/>
      <c r="BB66" s="576"/>
      <c r="BC66" s="576"/>
      <c r="BD66" s="576"/>
      <c r="BE66" s="576"/>
      <c r="BF66" s="576"/>
      <c r="BG66" s="576"/>
      <c r="BH66" s="576"/>
      <c r="BI66" s="576"/>
      <c r="BJ66" s="576"/>
      <c r="BK66" s="576"/>
      <c r="BL66" s="576"/>
      <c r="BM66" s="576"/>
    </row>
    <row r="67" s="577" customFormat="1" ht="25.5" customHeight="1" outlineLevel="3" spans="1:65">
      <c r="A67" s="591"/>
      <c r="B67" s="598" t="s">
        <v>810</v>
      </c>
      <c r="C67" s="599" t="s">
        <v>622</v>
      </c>
      <c r="D67" s="616" t="s">
        <v>811</v>
      </c>
      <c r="E67" s="616"/>
      <c r="F67" s="603"/>
      <c r="G67" s="603"/>
      <c r="H67" s="603"/>
      <c r="I67" s="603"/>
      <c r="J67" s="603"/>
      <c r="K67" s="656">
        <v>0.17</v>
      </c>
      <c r="L67" s="603"/>
      <c r="M67" s="603"/>
      <c r="N67" s="654"/>
      <c r="O67" s="641"/>
      <c r="P67" s="642"/>
      <c r="Q67" s="685">
        <v>0</v>
      </c>
      <c r="R67" s="686">
        <v>0</v>
      </c>
      <c r="S67" s="641">
        <v>0</v>
      </c>
      <c r="T67" s="641">
        <v>0</v>
      </c>
      <c r="U67" s="641">
        <v>0</v>
      </c>
      <c r="V67" s="641">
        <v>0</v>
      </c>
      <c r="W67" s="679"/>
      <c r="X67" s="679"/>
      <c r="Y67" s="679">
        <v>0</v>
      </c>
      <c r="Z67" s="701"/>
      <c r="AA67" s="697"/>
      <c r="AB67" s="576"/>
      <c r="AC67" s="576"/>
      <c r="AD67" s="576"/>
      <c r="AE67" s="576"/>
      <c r="AF67" s="576"/>
      <c r="AG67" s="576"/>
      <c r="AH67" s="576"/>
      <c r="AI67" s="576"/>
      <c r="AJ67" s="576"/>
      <c r="AK67" s="576"/>
      <c r="AL67" s="576"/>
      <c r="AM67" s="576"/>
      <c r="AN67" s="576"/>
      <c r="AO67" s="576"/>
      <c r="AP67" s="576"/>
      <c r="AQ67" s="576"/>
      <c r="AR67" s="576"/>
      <c r="AS67" s="576"/>
      <c r="AT67" s="576"/>
      <c r="AU67" s="576"/>
      <c r="AV67" s="576"/>
      <c r="AW67" s="576"/>
      <c r="AX67" s="576"/>
      <c r="AY67" s="576"/>
      <c r="AZ67" s="576"/>
      <c r="BA67" s="576"/>
      <c r="BB67" s="576"/>
      <c r="BC67" s="576"/>
      <c r="BD67" s="576"/>
      <c r="BE67" s="576"/>
      <c r="BF67" s="576"/>
      <c r="BG67" s="576"/>
      <c r="BH67" s="576"/>
      <c r="BI67" s="576"/>
      <c r="BJ67" s="576"/>
      <c r="BK67" s="576"/>
      <c r="BL67" s="576"/>
      <c r="BM67" s="576"/>
    </row>
    <row r="68" s="577" customFormat="1" ht="14.1" customHeight="1" outlineLevel="2" spans="1:65">
      <c r="A68" s="591"/>
      <c r="B68" s="598" t="s">
        <v>813</v>
      </c>
      <c r="C68" s="599" t="s">
        <v>762</v>
      </c>
      <c r="D68" s="703" t="s">
        <v>814</v>
      </c>
      <c r="E68" s="703"/>
      <c r="F68" s="601"/>
      <c r="G68" s="601"/>
      <c r="H68" s="601"/>
      <c r="I68" s="601"/>
      <c r="J68" s="601"/>
      <c r="K68" s="601"/>
      <c r="L68" s="601"/>
      <c r="M68" s="601"/>
      <c r="N68" s="646">
        <v>0</v>
      </c>
      <c r="O68" s="635"/>
      <c r="P68" s="636"/>
      <c r="Q68" s="667">
        <v>0</v>
      </c>
      <c r="R68" s="668">
        <v>0</v>
      </c>
      <c r="S68" s="669">
        <v>0</v>
      </c>
      <c r="T68" s="669">
        <v>0</v>
      </c>
      <c r="U68" s="669">
        <v>0</v>
      </c>
      <c r="V68" s="669">
        <v>0</v>
      </c>
      <c r="W68" s="679"/>
      <c r="X68" s="679"/>
      <c r="Y68" s="679">
        <v>0</v>
      </c>
      <c r="Z68" s="671"/>
      <c r="AA68" s="695"/>
      <c r="AB68" s="576"/>
      <c r="AC68" s="576"/>
      <c r="AD68" s="576"/>
      <c r="AE68" s="576"/>
      <c r="AF68" s="576"/>
      <c r="AG68" s="576"/>
      <c r="AH68" s="576"/>
      <c r="AI68" s="576"/>
      <c r="AJ68" s="576"/>
      <c r="AK68" s="576"/>
      <c r="AL68" s="576"/>
      <c r="AM68" s="576"/>
      <c r="AN68" s="576"/>
      <c r="AO68" s="576"/>
      <c r="AP68" s="576"/>
      <c r="AQ68" s="576"/>
      <c r="AR68" s="576"/>
      <c r="AS68" s="576"/>
      <c r="AT68" s="576"/>
      <c r="AU68" s="576"/>
      <c r="AV68" s="576"/>
      <c r="AW68" s="576"/>
      <c r="AX68" s="576"/>
      <c r="AY68" s="576"/>
      <c r="AZ68" s="576"/>
      <c r="BA68" s="576"/>
      <c r="BB68" s="576"/>
      <c r="BC68" s="576"/>
      <c r="BD68" s="576"/>
      <c r="BE68" s="576"/>
      <c r="BF68" s="576"/>
      <c r="BG68" s="576"/>
      <c r="BH68" s="576"/>
      <c r="BI68" s="576"/>
      <c r="BJ68" s="576"/>
      <c r="BK68" s="576"/>
      <c r="BL68" s="576"/>
      <c r="BM68" s="576"/>
    </row>
    <row r="69" s="577" customFormat="1" ht="14.1" customHeight="1" outlineLevel="3" spans="1:65">
      <c r="A69" s="591"/>
      <c r="B69" s="598" t="s">
        <v>815</v>
      </c>
      <c r="C69" s="599" t="s">
        <v>622</v>
      </c>
      <c r="D69" s="616" t="s">
        <v>1495</v>
      </c>
      <c r="E69" s="616"/>
      <c r="F69" s="601"/>
      <c r="G69" s="601"/>
      <c r="H69" s="601"/>
      <c r="I69" s="601"/>
      <c r="J69" s="601"/>
      <c r="K69" s="656">
        <v>0.114320408751399</v>
      </c>
      <c r="L69" s="601">
        <v>0</v>
      </c>
      <c r="M69" s="601">
        <v>0</v>
      </c>
      <c r="N69" s="635">
        <v>0</v>
      </c>
      <c r="O69" s="635"/>
      <c r="P69" s="636"/>
      <c r="Q69" s="667">
        <v>0</v>
      </c>
      <c r="R69" s="668">
        <v>0</v>
      </c>
      <c r="S69" s="669">
        <v>0</v>
      </c>
      <c r="T69" s="669">
        <v>0</v>
      </c>
      <c r="U69" s="669">
        <v>0</v>
      </c>
      <c r="V69" s="669">
        <v>0</v>
      </c>
      <c r="W69" s="679"/>
      <c r="X69" s="679"/>
      <c r="Y69" s="679">
        <v>0</v>
      </c>
      <c r="Z69" s="671"/>
      <c r="AA69" s="695"/>
      <c r="AB69" s="576"/>
      <c r="AC69" s="576"/>
      <c r="AD69" s="576"/>
      <c r="AE69" s="576"/>
      <c r="AF69" s="576"/>
      <c r="AG69" s="576"/>
      <c r="AH69" s="576"/>
      <c r="AI69" s="576"/>
      <c r="AJ69" s="576"/>
      <c r="AK69" s="576"/>
      <c r="AL69" s="576"/>
      <c r="AM69" s="576"/>
      <c r="AN69" s="576"/>
      <c r="AO69" s="576"/>
      <c r="AP69" s="576"/>
      <c r="AQ69" s="576"/>
      <c r="AR69" s="576"/>
      <c r="AS69" s="576"/>
      <c r="AT69" s="576"/>
      <c r="AU69" s="576"/>
      <c r="AV69" s="576"/>
      <c r="AW69" s="576"/>
      <c r="AX69" s="576"/>
      <c r="AY69" s="576"/>
      <c r="AZ69" s="576"/>
      <c r="BA69" s="576"/>
      <c r="BB69" s="576"/>
      <c r="BC69" s="576"/>
      <c r="BD69" s="576"/>
      <c r="BE69" s="576"/>
      <c r="BF69" s="576"/>
      <c r="BG69" s="576"/>
      <c r="BH69" s="576"/>
      <c r="BI69" s="576"/>
      <c r="BJ69" s="576"/>
      <c r="BK69" s="576"/>
      <c r="BL69" s="576"/>
      <c r="BM69" s="576"/>
    </row>
    <row r="70" s="577" customFormat="1" ht="14.1" customHeight="1" outlineLevel="3" spans="1:65">
      <c r="A70" s="591"/>
      <c r="B70" s="598" t="s">
        <v>817</v>
      </c>
      <c r="C70" s="599" t="s">
        <v>622</v>
      </c>
      <c r="D70" s="616" t="s">
        <v>1496</v>
      </c>
      <c r="E70" s="616"/>
      <c r="F70" s="601"/>
      <c r="G70" s="601"/>
      <c r="H70" s="601"/>
      <c r="I70" s="601"/>
      <c r="J70" s="601"/>
      <c r="K70" s="375"/>
      <c r="L70" s="601">
        <v>0</v>
      </c>
      <c r="M70" s="601">
        <v>0</v>
      </c>
      <c r="N70" s="635">
        <v>0</v>
      </c>
      <c r="O70" s="635"/>
      <c r="P70" s="636"/>
      <c r="Q70" s="667">
        <v>0</v>
      </c>
      <c r="R70" s="668">
        <v>0</v>
      </c>
      <c r="S70" s="669">
        <v>0</v>
      </c>
      <c r="T70" s="669">
        <v>0</v>
      </c>
      <c r="U70" s="669">
        <v>0</v>
      </c>
      <c r="V70" s="669">
        <v>0</v>
      </c>
      <c r="W70" s="679"/>
      <c r="X70" s="679"/>
      <c r="Y70" s="679">
        <v>0</v>
      </c>
      <c r="Z70" s="671"/>
      <c r="AA70" s="695"/>
      <c r="AB70" s="576"/>
      <c r="AC70" s="576"/>
      <c r="AD70" s="576"/>
      <c r="AE70" s="576"/>
      <c r="AF70" s="576"/>
      <c r="AG70" s="576"/>
      <c r="AH70" s="576"/>
      <c r="AI70" s="576"/>
      <c r="AJ70" s="576"/>
      <c r="AK70" s="576"/>
      <c r="AL70" s="576"/>
      <c r="AM70" s="576"/>
      <c r="AN70" s="576"/>
      <c r="AO70" s="576"/>
      <c r="AP70" s="576"/>
      <c r="AQ70" s="576"/>
      <c r="AR70" s="576"/>
      <c r="AS70" s="576"/>
      <c r="AT70" s="576"/>
      <c r="AU70" s="576"/>
      <c r="AV70" s="576"/>
      <c r="AW70" s="576"/>
      <c r="AX70" s="576"/>
      <c r="AY70" s="576"/>
      <c r="AZ70" s="576"/>
      <c r="BA70" s="576"/>
      <c r="BB70" s="576"/>
      <c r="BC70" s="576"/>
      <c r="BD70" s="576"/>
      <c r="BE70" s="576"/>
      <c r="BF70" s="576"/>
      <c r="BG70" s="576"/>
      <c r="BH70" s="576"/>
      <c r="BI70" s="576"/>
      <c r="BJ70" s="576"/>
      <c r="BK70" s="576"/>
      <c r="BL70" s="576"/>
      <c r="BM70" s="576"/>
    </row>
    <row r="71" s="577" customFormat="1" ht="14.1" customHeight="1" outlineLevel="2" collapsed="1" spans="1:65">
      <c r="A71" s="591"/>
      <c r="B71" s="598" t="s">
        <v>819</v>
      </c>
      <c r="C71" s="599" t="s">
        <v>778</v>
      </c>
      <c r="D71" s="703" t="s">
        <v>820</v>
      </c>
      <c r="E71" s="703"/>
      <c r="F71" s="601"/>
      <c r="G71" s="601"/>
      <c r="H71" s="601"/>
      <c r="I71" s="601"/>
      <c r="J71" s="601"/>
      <c r="K71" s="601"/>
      <c r="L71" s="601"/>
      <c r="M71" s="601"/>
      <c r="N71" s="646"/>
      <c r="O71" s="635"/>
      <c r="P71" s="636"/>
      <c r="Q71" s="667">
        <v>0</v>
      </c>
      <c r="R71" s="668">
        <v>0</v>
      </c>
      <c r="S71" s="669">
        <v>0</v>
      </c>
      <c r="T71" s="669">
        <v>0</v>
      </c>
      <c r="U71" s="669">
        <v>0</v>
      </c>
      <c r="V71" s="669">
        <v>0</v>
      </c>
      <c r="W71" s="679"/>
      <c r="X71" s="679"/>
      <c r="Y71" s="679">
        <v>0</v>
      </c>
      <c r="Z71" s="671"/>
      <c r="AA71" s="695"/>
      <c r="AB71" s="576"/>
      <c r="AC71" s="576"/>
      <c r="AD71" s="576"/>
      <c r="AE71" s="576"/>
      <c r="AF71" s="576"/>
      <c r="AG71" s="576"/>
      <c r="AH71" s="576"/>
      <c r="AI71" s="576"/>
      <c r="AJ71" s="576"/>
      <c r="AK71" s="576"/>
      <c r="AL71" s="576"/>
      <c r="AM71" s="576"/>
      <c r="AN71" s="576"/>
      <c r="AO71" s="576"/>
      <c r="AP71" s="576"/>
      <c r="AQ71" s="576"/>
      <c r="AR71" s="576"/>
      <c r="AS71" s="576"/>
      <c r="AT71" s="576"/>
      <c r="AU71" s="576"/>
      <c r="AV71" s="576"/>
      <c r="AW71" s="576"/>
      <c r="AX71" s="576"/>
      <c r="AY71" s="576"/>
      <c r="AZ71" s="576"/>
      <c r="BA71" s="576"/>
      <c r="BB71" s="576"/>
      <c r="BC71" s="576"/>
      <c r="BD71" s="576"/>
      <c r="BE71" s="576"/>
      <c r="BF71" s="576"/>
      <c r="BG71" s="576"/>
      <c r="BH71" s="576"/>
      <c r="BI71" s="576"/>
      <c r="BJ71" s="576"/>
      <c r="BK71" s="576"/>
      <c r="BL71" s="576"/>
      <c r="BM71" s="576"/>
    </row>
    <row r="72" s="576" customFormat="1" ht="16.5" customHeight="1" outlineLevel="1" spans="1:27">
      <c r="A72" s="591"/>
      <c r="B72" s="595" t="s">
        <v>529</v>
      </c>
      <c r="C72" s="596">
        <v>3</v>
      </c>
      <c r="D72" s="704" t="s">
        <v>530</v>
      </c>
      <c r="E72" s="597"/>
      <c r="F72" s="185"/>
      <c r="G72" s="185"/>
      <c r="H72" s="185"/>
      <c r="I72" s="185"/>
      <c r="J72" s="185"/>
      <c r="K72" s="185"/>
      <c r="L72" s="718">
        <v>0</v>
      </c>
      <c r="M72" s="718">
        <v>0</v>
      </c>
      <c r="N72" s="645">
        <v>0</v>
      </c>
      <c r="O72" s="632"/>
      <c r="P72" s="633" t="s">
        <v>1452</v>
      </c>
      <c r="Q72" s="731">
        <v>0</v>
      </c>
      <c r="R72" s="731">
        <v>0</v>
      </c>
      <c r="S72" s="731">
        <v>0</v>
      </c>
      <c r="T72" s="731">
        <v>0</v>
      </c>
      <c r="U72" s="731">
        <v>0</v>
      </c>
      <c r="V72" s="731">
        <v>0</v>
      </c>
      <c r="W72" s="718">
        <v>0</v>
      </c>
      <c r="X72" s="718">
        <v>0</v>
      </c>
      <c r="Y72" s="718">
        <v>0</v>
      </c>
      <c r="Z72" s="718">
        <v>0</v>
      </c>
      <c r="AA72" s="694"/>
    </row>
    <row r="73" s="577" customFormat="1" ht="16.35" customHeight="1" outlineLevel="2" spans="1:65">
      <c r="A73" s="591"/>
      <c r="B73" s="598" t="s">
        <v>822</v>
      </c>
      <c r="C73" s="599" t="s">
        <v>619</v>
      </c>
      <c r="D73" s="705" t="s">
        <v>1497</v>
      </c>
      <c r="E73" s="705"/>
      <c r="F73" s="706"/>
      <c r="G73" s="706"/>
      <c r="H73" s="706"/>
      <c r="I73" s="706"/>
      <c r="J73" s="706"/>
      <c r="K73" s="706"/>
      <c r="L73" s="706">
        <v>0</v>
      </c>
      <c r="M73" s="706">
        <v>0</v>
      </c>
      <c r="N73" s="706">
        <v>0</v>
      </c>
      <c r="O73" s="719"/>
      <c r="P73" s="720"/>
      <c r="Q73" s="732"/>
      <c r="R73" s="733"/>
      <c r="S73" s="734"/>
      <c r="T73" s="734"/>
      <c r="U73" s="734"/>
      <c r="V73" s="734"/>
      <c r="W73" s="732"/>
      <c r="X73" s="734"/>
      <c r="Y73" s="734"/>
      <c r="Z73" s="747"/>
      <c r="AA73" s="748"/>
      <c r="AB73" s="576"/>
      <c r="AC73" s="576"/>
      <c r="AD73" s="576"/>
      <c r="AE73" s="576"/>
      <c r="AF73" s="576"/>
      <c r="AG73" s="576"/>
      <c r="AH73" s="576"/>
      <c r="AI73" s="576"/>
      <c r="AJ73" s="576"/>
      <c r="AK73" s="576"/>
      <c r="AL73" s="576"/>
      <c r="AM73" s="576"/>
      <c r="AN73" s="576"/>
      <c r="AO73" s="576"/>
      <c r="AP73" s="576"/>
      <c r="AQ73" s="576"/>
      <c r="AR73" s="576"/>
      <c r="AS73" s="576"/>
      <c r="AT73" s="576"/>
      <c r="AU73" s="576"/>
      <c r="AV73" s="576"/>
      <c r="AW73" s="576"/>
      <c r="AX73" s="576"/>
      <c r="AY73" s="576"/>
      <c r="AZ73" s="576"/>
      <c r="BA73" s="576"/>
      <c r="BB73" s="576"/>
      <c r="BC73" s="576"/>
      <c r="BD73" s="576"/>
      <c r="BE73" s="576"/>
      <c r="BF73" s="576"/>
      <c r="BG73" s="576"/>
      <c r="BH73" s="576"/>
      <c r="BI73" s="576"/>
      <c r="BJ73" s="576"/>
      <c r="BK73" s="576"/>
      <c r="BL73" s="576"/>
      <c r="BM73" s="576"/>
    </row>
    <row r="74" s="577" customFormat="1" ht="16.35" customHeight="1" outlineLevel="3" spans="1:65">
      <c r="A74" s="591"/>
      <c r="B74" s="598" t="s">
        <v>824</v>
      </c>
      <c r="C74" s="599" t="s">
        <v>622</v>
      </c>
      <c r="D74" s="602" t="s">
        <v>825</v>
      </c>
      <c r="E74" s="602"/>
      <c r="F74" s="706"/>
      <c r="G74" s="706"/>
      <c r="H74" s="706"/>
      <c r="I74" s="706"/>
      <c r="J74" s="706"/>
      <c r="K74" s="721">
        <v>0.11</v>
      </c>
      <c r="L74" s="601">
        <v>0</v>
      </c>
      <c r="M74" s="601">
        <v>0</v>
      </c>
      <c r="N74" s="635">
        <v>0</v>
      </c>
      <c r="O74" s="719"/>
      <c r="P74" s="720"/>
      <c r="Q74" s="732"/>
      <c r="R74" s="733"/>
      <c r="S74" s="734"/>
      <c r="T74" s="734"/>
      <c r="U74" s="734"/>
      <c r="V74" s="734"/>
      <c r="W74" s="732"/>
      <c r="X74" s="734"/>
      <c r="Y74" s="734"/>
      <c r="Z74" s="747"/>
      <c r="AA74" s="748"/>
      <c r="AB74" s="576"/>
      <c r="AC74" s="576"/>
      <c r="AD74" s="576"/>
      <c r="AE74" s="576"/>
      <c r="AF74" s="576"/>
      <c r="AG74" s="576"/>
      <c r="AH74" s="576"/>
      <c r="AI74" s="576"/>
      <c r="AJ74" s="576"/>
      <c r="AK74" s="576"/>
      <c r="AL74" s="576"/>
      <c r="AM74" s="576"/>
      <c r="AN74" s="576"/>
      <c r="AO74" s="576"/>
      <c r="AP74" s="576"/>
      <c r="AQ74" s="576"/>
      <c r="AR74" s="576"/>
      <c r="AS74" s="576"/>
      <c r="AT74" s="576"/>
      <c r="AU74" s="576"/>
      <c r="AV74" s="576"/>
      <c r="AW74" s="576"/>
      <c r="AX74" s="576"/>
      <c r="AY74" s="576"/>
      <c r="AZ74" s="576"/>
      <c r="BA74" s="576"/>
      <c r="BB74" s="576"/>
      <c r="BC74" s="576"/>
      <c r="BD74" s="576"/>
      <c r="BE74" s="576"/>
      <c r="BF74" s="576"/>
      <c r="BG74" s="576"/>
      <c r="BH74" s="576"/>
      <c r="BI74" s="576"/>
      <c r="BJ74" s="576"/>
      <c r="BK74" s="576"/>
      <c r="BL74" s="576"/>
      <c r="BM74" s="576"/>
    </row>
    <row r="75" s="577" customFormat="1" ht="16.35" customHeight="1" outlineLevel="3" spans="1:65">
      <c r="A75" s="591"/>
      <c r="B75" s="598" t="s">
        <v>828</v>
      </c>
      <c r="C75" s="599" t="s">
        <v>622</v>
      </c>
      <c r="D75" s="602" t="s">
        <v>829</v>
      </c>
      <c r="E75" s="602"/>
      <c r="F75" s="706"/>
      <c r="G75" s="706"/>
      <c r="H75" s="706"/>
      <c r="I75" s="706"/>
      <c r="J75" s="706"/>
      <c r="K75" s="721">
        <v>0.11</v>
      </c>
      <c r="L75" s="601">
        <v>0</v>
      </c>
      <c r="M75" s="601">
        <v>0</v>
      </c>
      <c r="N75" s="635">
        <v>0</v>
      </c>
      <c r="O75" s="719"/>
      <c r="P75" s="720"/>
      <c r="Q75" s="732"/>
      <c r="R75" s="733"/>
      <c r="S75" s="734"/>
      <c r="T75" s="734"/>
      <c r="U75" s="734"/>
      <c r="V75" s="734"/>
      <c r="W75" s="732"/>
      <c r="X75" s="734"/>
      <c r="Y75" s="734"/>
      <c r="Z75" s="747"/>
      <c r="AA75" s="748"/>
      <c r="AB75" s="576"/>
      <c r="AC75" s="576"/>
      <c r="AD75" s="576"/>
      <c r="AE75" s="576"/>
      <c r="AF75" s="576"/>
      <c r="AG75" s="576"/>
      <c r="AH75" s="576"/>
      <c r="AI75" s="576"/>
      <c r="AJ75" s="576"/>
      <c r="AK75" s="576"/>
      <c r="AL75" s="576"/>
      <c r="AM75" s="576"/>
      <c r="AN75" s="576"/>
      <c r="AO75" s="576"/>
      <c r="AP75" s="576"/>
      <c r="AQ75" s="576"/>
      <c r="AR75" s="576"/>
      <c r="AS75" s="576"/>
      <c r="AT75" s="576"/>
      <c r="AU75" s="576"/>
      <c r="AV75" s="576"/>
      <c r="AW75" s="576"/>
      <c r="AX75" s="576"/>
      <c r="AY75" s="576"/>
      <c r="AZ75" s="576"/>
      <c r="BA75" s="576"/>
      <c r="BB75" s="576"/>
      <c r="BC75" s="576"/>
      <c r="BD75" s="576"/>
      <c r="BE75" s="576"/>
      <c r="BF75" s="576"/>
      <c r="BG75" s="576"/>
      <c r="BH75" s="576"/>
      <c r="BI75" s="576"/>
      <c r="BJ75" s="576"/>
      <c r="BK75" s="576"/>
      <c r="BL75" s="576"/>
      <c r="BM75" s="576"/>
    </row>
    <row r="76" s="577" customFormat="1" ht="16.35" customHeight="1" outlineLevel="3" spans="1:65">
      <c r="A76" s="591"/>
      <c r="B76" s="598" t="s">
        <v>830</v>
      </c>
      <c r="C76" s="599" t="s">
        <v>622</v>
      </c>
      <c r="D76" s="602" t="s">
        <v>831</v>
      </c>
      <c r="E76" s="602"/>
      <c r="F76" s="706"/>
      <c r="G76" s="706"/>
      <c r="H76" s="706"/>
      <c r="I76" s="706"/>
      <c r="J76" s="706"/>
      <c r="K76" s="721">
        <v>0.11</v>
      </c>
      <c r="L76" s="601">
        <v>0</v>
      </c>
      <c r="M76" s="601">
        <v>0</v>
      </c>
      <c r="N76" s="635">
        <v>0</v>
      </c>
      <c r="O76" s="719"/>
      <c r="P76" s="720"/>
      <c r="Q76" s="732"/>
      <c r="R76" s="733"/>
      <c r="S76" s="734"/>
      <c r="T76" s="734"/>
      <c r="U76" s="734"/>
      <c r="V76" s="734"/>
      <c r="W76" s="732"/>
      <c r="X76" s="734"/>
      <c r="Y76" s="734"/>
      <c r="Z76" s="747"/>
      <c r="AA76" s="748"/>
      <c r="AB76" s="576"/>
      <c r="AC76" s="576"/>
      <c r="AD76" s="576"/>
      <c r="AE76" s="576"/>
      <c r="AF76" s="576"/>
      <c r="AG76" s="576"/>
      <c r="AH76" s="576"/>
      <c r="AI76" s="576"/>
      <c r="AJ76" s="576"/>
      <c r="AK76" s="576"/>
      <c r="AL76" s="576"/>
      <c r="AM76" s="576"/>
      <c r="AN76" s="576"/>
      <c r="AO76" s="576"/>
      <c r="AP76" s="576"/>
      <c r="AQ76" s="576"/>
      <c r="AR76" s="576"/>
      <c r="AS76" s="576"/>
      <c r="AT76" s="576"/>
      <c r="AU76" s="576"/>
      <c r="AV76" s="576"/>
      <c r="AW76" s="576"/>
      <c r="AX76" s="576"/>
      <c r="AY76" s="576"/>
      <c r="AZ76" s="576"/>
      <c r="BA76" s="576"/>
      <c r="BB76" s="576"/>
      <c r="BC76" s="576"/>
      <c r="BD76" s="576"/>
      <c r="BE76" s="576"/>
      <c r="BF76" s="576"/>
      <c r="BG76" s="576"/>
      <c r="BH76" s="576"/>
      <c r="BI76" s="576"/>
      <c r="BJ76" s="576"/>
      <c r="BK76" s="576"/>
      <c r="BL76" s="576"/>
      <c r="BM76" s="576"/>
    </row>
    <row r="77" s="577" customFormat="1" ht="16.35" customHeight="1" outlineLevel="2" spans="1:65">
      <c r="A77" s="591"/>
      <c r="B77" s="598" t="s">
        <v>832</v>
      </c>
      <c r="C77" s="599" t="s">
        <v>657</v>
      </c>
      <c r="D77" s="602" t="s">
        <v>833</v>
      </c>
      <c r="E77" s="602"/>
      <c r="F77" s="706"/>
      <c r="G77" s="706"/>
      <c r="H77" s="706"/>
      <c r="I77" s="706"/>
      <c r="J77" s="706"/>
      <c r="K77" s="706"/>
      <c r="L77" s="706">
        <v>0</v>
      </c>
      <c r="M77" s="706">
        <v>0</v>
      </c>
      <c r="N77" s="706">
        <v>0</v>
      </c>
      <c r="O77" s="719"/>
      <c r="P77" s="720"/>
      <c r="Q77" s="732"/>
      <c r="R77" s="733"/>
      <c r="S77" s="734"/>
      <c r="T77" s="734"/>
      <c r="U77" s="734"/>
      <c r="V77" s="734"/>
      <c r="W77" s="732"/>
      <c r="X77" s="734"/>
      <c r="Y77" s="734"/>
      <c r="Z77" s="747"/>
      <c r="AA77" s="748"/>
      <c r="AB77" s="576"/>
      <c r="AC77" s="576"/>
      <c r="AD77" s="576"/>
      <c r="AE77" s="576"/>
      <c r="AF77" s="576"/>
      <c r="AG77" s="576"/>
      <c r="AH77" s="576"/>
      <c r="AI77" s="576"/>
      <c r="AJ77" s="576"/>
      <c r="AK77" s="576"/>
      <c r="AL77" s="576"/>
      <c r="AM77" s="576"/>
      <c r="AN77" s="576"/>
      <c r="AO77" s="576"/>
      <c r="AP77" s="576"/>
      <c r="AQ77" s="576"/>
      <c r="AR77" s="576"/>
      <c r="AS77" s="576"/>
      <c r="AT77" s="576"/>
      <c r="AU77" s="576"/>
      <c r="AV77" s="576"/>
      <c r="AW77" s="576"/>
      <c r="AX77" s="576"/>
      <c r="AY77" s="576"/>
      <c r="AZ77" s="576"/>
      <c r="BA77" s="576"/>
      <c r="BB77" s="576"/>
      <c r="BC77" s="576"/>
      <c r="BD77" s="576"/>
      <c r="BE77" s="576"/>
      <c r="BF77" s="576"/>
      <c r="BG77" s="576"/>
      <c r="BH77" s="576"/>
      <c r="BI77" s="576"/>
      <c r="BJ77" s="576"/>
      <c r="BK77" s="576"/>
      <c r="BL77" s="576"/>
      <c r="BM77" s="576"/>
    </row>
    <row r="78" s="577" customFormat="1" ht="16.35" customHeight="1" outlineLevel="3" spans="1:65">
      <c r="A78" s="591"/>
      <c r="B78" s="598" t="s">
        <v>834</v>
      </c>
      <c r="C78" s="599" t="s">
        <v>622</v>
      </c>
      <c r="D78" s="602" t="s">
        <v>835</v>
      </c>
      <c r="E78" s="602"/>
      <c r="F78" s="706"/>
      <c r="G78" s="706"/>
      <c r="H78" s="706"/>
      <c r="I78" s="706"/>
      <c r="J78" s="706"/>
      <c r="K78" s="721">
        <v>0.11</v>
      </c>
      <c r="L78" s="601">
        <v>0</v>
      </c>
      <c r="M78" s="601">
        <v>0</v>
      </c>
      <c r="N78" s="635">
        <v>0</v>
      </c>
      <c r="O78" s="719"/>
      <c r="P78" s="720"/>
      <c r="Q78" s="732"/>
      <c r="R78" s="733"/>
      <c r="S78" s="734"/>
      <c r="T78" s="734"/>
      <c r="U78" s="734"/>
      <c r="V78" s="734"/>
      <c r="W78" s="732"/>
      <c r="X78" s="734"/>
      <c r="Y78" s="734"/>
      <c r="Z78" s="747"/>
      <c r="AA78" s="748"/>
      <c r="AB78" s="576"/>
      <c r="AC78" s="576"/>
      <c r="AD78" s="576"/>
      <c r="AE78" s="576"/>
      <c r="AF78" s="576"/>
      <c r="AG78" s="576"/>
      <c r="AH78" s="576"/>
      <c r="AI78" s="576"/>
      <c r="AJ78" s="576"/>
      <c r="AK78" s="576"/>
      <c r="AL78" s="576"/>
      <c r="AM78" s="576"/>
      <c r="AN78" s="576"/>
      <c r="AO78" s="576"/>
      <c r="AP78" s="576"/>
      <c r="AQ78" s="576"/>
      <c r="AR78" s="576"/>
      <c r="AS78" s="576"/>
      <c r="AT78" s="576"/>
      <c r="AU78" s="576"/>
      <c r="AV78" s="576"/>
      <c r="AW78" s="576"/>
      <c r="AX78" s="576"/>
      <c r="AY78" s="576"/>
      <c r="AZ78" s="576"/>
      <c r="BA78" s="576"/>
      <c r="BB78" s="576"/>
      <c r="BC78" s="576"/>
      <c r="BD78" s="576"/>
      <c r="BE78" s="576"/>
      <c r="BF78" s="576"/>
      <c r="BG78" s="576"/>
      <c r="BH78" s="576"/>
      <c r="BI78" s="576"/>
      <c r="BJ78" s="576"/>
      <c r="BK78" s="576"/>
      <c r="BL78" s="576"/>
      <c r="BM78" s="576"/>
    </row>
    <row r="79" s="577" customFormat="1" ht="16.35" customHeight="1" outlineLevel="3" spans="1:65">
      <c r="A79" s="591"/>
      <c r="B79" s="598" t="s">
        <v>838</v>
      </c>
      <c r="C79" s="599" t="s">
        <v>622</v>
      </c>
      <c r="D79" s="602" t="s">
        <v>1498</v>
      </c>
      <c r="E79" s="602"/>
      <c r="F79" s="706"/>
      <c r="G79" s="706"/>
      <c r="H79" s="706"/>
      <c r="I79" s="706"/>
      <c r="J79" s="706"/>
      <c r="K79" s="721">
        <v>0.11</v>
      </c>
      <c r="L79" s="601">
        <v>0</v>
      </c>
      <c r="M79" s="601">
        <v>0</v>
      </c>
      <c r="N79" s="635">
        <v>0</v>
      </c>
      <c r="O79" s="719"/>
      <c r="P79" s="720"/>
      <c r="Q79" s="732"/>
      <c r="R79" s="733"/>
      <c r="S79" s="734"/>
      <c r="T79" s="734"/>
      <c r="U79" s="734"/>
      <c r="V79" s="734"/>
      <c r="W79" s="732"/>
      <c r="X79" s="734"/>
      <c r="Y79" s="734"/>
      <c r="Z79" s="747"/>
      <c r="AA79" s="748"/>
      <c r="AB79" s="576"/>
      <c r="AC79" s="576"/>
      <c r="AD79" s="576"/>
      <c r="AE79" s="576"/>
      <c r="AF79" s="576"/>
      <c r="AG79" s="576"/>
      <c r="AH79" s="576"/>
      <c r="AI79" s="576"/>
      <c r="AJ79" s="576"/>
      <c r="AK79" s="576"/>
      <c r="AL79" s="576"/>
      <c r="AM79" s="576"/>
      <c r="AN79" s="576"/>
      <c r="AO79" s="576"/>
      <c r="AP79" s="576"/>
      <c r="AQ79" s="576"/>
      <c r="AR79" s="576"/>
      <c r="AS79" s="576"/>
      <c r="AT79" s="576"/>
      <c r="AU79" s="576"/>
      <c r="AV79" s="576"/>
      <c r="AW79" s="576"/>
      <c r="AX79" s="576"/>
      <c r="AY79" s="576"/>
      <c r="AZ79" s="576"/>
      <c r="BA79" s="576"/>
      <c r="BB79" s="576"/>
      <c r="BC79" s="576"/>
      <c r="BD79" s="576"/>
      <c r="BE79" s="576"/>
      <c r="BF79" s="576"/>
      <c r="BG79" s="576"/>
      <c r="BH79" s="576"/>
      <c r="BI79" s="576"/>
      <c r="BJ79" s="576"/>
      <c r="BK79" s="576"/>
      <c r="BL79" s="576"/>
      <c r="BM79" s="576"/>
    </row>
    <row r="80" s="577" customFormat="1" ht="16.35" customHeight="1" outlineLevel="3" spans="1:65">
      <c r="A80" s="591"/>
      <c r="B80" s="598" t="s">
        <v>841</v>
      </c>
      <c r="C80" s="599" t="s">
        <v>622</v>
      </c>
      <c r="D80" s="602" t="s">
        <v>1499</v>
      </c>
      <c r="E80" s="602"/>
      <c r="F80" s="706"/>
      <c r="G80" s="706"/>
      <c r="H80" s="706"/>
      <c r="I80" s="706"/>
      <c r="J80" s="706"/>
      <c r="K80" s="721">
        <v>0.11</v>
      </c>
      <c r="L80" s="601">
        <v>0</v>
      </c>
      <c r="M80" s="601">
        <v>0</v>
      </c>
      <c r="N80" s="635">
        <v>0</v>
      </c>
      <c r="O80" s="719"/>
      <c r="P80" s="720"/>
      <c r="Q80" s="732"/>
      <c r="R80" s="733"/>
      <c r="S80" s="734"/>
      <c r="T80" s="734"/>
      <c r="U80" s="734"/>
      <c r="V80" s="734"/>
      <c r="W80" s="732"/>
      <c r="X80" s="734"/>
      <c r="Y80" s="734"/>
      <c r="Z80" s="747"/>
      <c r="AA80" s="748"/>
      <c r="AB80" s="576"/>
      <c r="AC80" s="576"/>
      <c r="AD80" s="576"/>
      <c r="AE80" s="576"/>
      <c r="AF80" s="576"/>
      <c r="AG80" s="576"/>
      <c r="AH80" s="576"/>
      <c r="AI80" s="576"/>
      <c r="AJ80" s="576"/>
      <c r="AK80" s="576"/>
      <c r="AL80" s="576"/>
      <c r="AM80" s="576"/>
      <c r="AN80" s="576"/>
      <c r="AO80" s="576"/>
      <c r="AP80" s="576"/>
      <c r="AQ80" s="576"/>
      <c r="AR80" s="576"/>
      <c r="AS80" s="576"/>
      <c r="AT80" s="576"/>
      <c r="AU80" s="576"/>
      <c r="AV80" s="576"/>
      <c r="AW80" s="576"/>
      <c r="AX80" s="576"/>
      <c r="AY80" s="576"/>
      <c r="AZ80" s="576"/>
      <c r="BA80" s="576"/>
      <c r="BB80" s="576"/>
      <c r="BC80" s="576"/>
      <c r="BD80" s="576"/>
      <c r="BE80" s="576"/>
      <c r="BF80" s="576"/>
      <c r="BG80" s="576"/>
      <c r="BH80" s="576"/>
      <c r="BI80" s="576"/>
      <c r="BJ80" s="576"/>
      <c r="BK80" s="576"/>
      <c r="BL80" s="576"/>
      <c r="BM80" s="576"/>
    </row>
    <row r="81" s="577" customFormat="1" ht="16.35" customHeight="1" outlineLevel="2" spans="1:65">
      <c r="A81" s="591"/>
      <c r="B81" s="598" t="s">
        <v>844</v>
      </c>
      <c r="C81" s="599" t="s">
        <v>762</v>
      </c>
      <c r="D81" s="602" t="s">
        <v>845</v>
      </c>
      <c r="E81" s="602" t="s">
        <v>1352</v>
      </c>
      <c r="F81" s="706"/>
      <c r="G81" s="706"/>
      <c r="H81" s="706"/>
      <c r="I81" s="706"/>
      <c r="J81" s="706"/>
      <c r="K81" s="706"/>
      <c r="L81" s="722">
        <v>0</v>
      </c>
      <c r="M81" s="722">
        <v>0</v>
      </c>
      <c r="N81" s="722">
        <v>0</v>
      </c>
      <c r="O81" s="719" t="s">
        <v>50</v>
      </c>
      <c r="P81" s="720"/>
      <c r="Q81" s="667">
        <v>0</v>
      </c>
      <c r="R81" s="668">
        <v>0</v>
      </c>
      <c r="S81" s="669">
        <v>0</v>
      </c>
      <c r="T81" s="669">
        <v>0</v>
      </c>
      <c r="U81" s="669">
        <v>0</v>
      </c>
      <c r="V81" s="669">
        <v>0</v>
      </c>
      <c r="W81" s="732">
        <v>0</v>
      </c>
      <c r="X81" s="734"/>
      <c r="Y81" s="734"/>
      <c r="Z81" s="747"/>
      <c r="AA81" s="695" t="s">
        <v>1500</v>
      </c>
      <c r="AB81" s="576"/>
      <c r="AC81" s="576"/>
      <c r="AD81" s="576"/>
      <c r="AE81" s="576"/>
      <c r="AF81" s="576"/>
      <c r="AG81" s="576"/>
      <c r="AH81" s="576"/>
      <c r="AI81" s="576"/>
      <c r="AJ81" s="576"/>
      <c r="AK81" s="576"/>
      <c r="AL81" s="576"/>
      <c r="AM81" s="576"/>
      <c r="AN81" s="576"/>
      <c r="AO81" s="576"/>
      <c r="AP81" s="576"/>
      <c r="AQ81" s="576"/>
      <c r="AR81" s="576"/>
      <c r="AS81" s="576"/>
      <c r="AT81" s="576"/>
      <c r="AU81" s="576"/>
      <c r="AV81" s="576"/>
      <c r="AW81" s="576"/>
      <c r="AX81" s="576"/>
      <c r="AY81" s="576"/>
      <c r="AZ81" s="576"/>
      <c r="BA81" s="576"/>
      <c r="BB81" s="576"/>
      <c r="BC81" s="576"/>
      <c r="BD81" s="576"/>
      <c r="BE81" s="576"/>
      <c r="BF81" s="576"/>
      <c r="BG81" s="576"/>
      <c r="BH81" s="576"/>
      <c r="BI81" s="576"/>
      <c r="BJ81" s="576"/>
      <c r="BK81" s="576"/>
      <c r="BL81" s="576"/>
      <c r="BM81" s="576"/>
    </row>
    <row r="82" s="577" customFormat="1" ht="16.35" customHeight="1" outlineLevel="3" spans="1:65">
      <c r="A82" s="591"/>
      <c r="B82" s="598" t="s">
        <v>834</v>
      </c>
      <c r="C82" s="599" t="s">
        <v>622</v>
      </c>
      <c r="D82" s="602" t="s">
        <v>1501</v>
      </c>
      <c r="E82" s="602"/>
      <c r="F82" s="706"/>
      <c r="G82" s="707">
        <v>1</v>
      </c>
      <c r="H82" s="707" t="s">
        <v>655</v>
      </c>
      <c r="I82" s="707"/>
      <c r="J82" s="723">
        <v>120</v>
      </c>
      <c r="K82" s="721">
        <v>0.11</v>
      </c>
      <c r="L82" s="601">
        <v>0</v>
      </c>
      <c r="M82" s="601">
        <v>0</v>
      </c>
      <c r="N82" s="635">
        <v>0</v>
      </c>
      <c r="O82" s="719"/>
      <c r="P82" s="720"/>
      <c r="Q82" s="732"/>
      <c r="R82" s="733"/>
      <c r="S82" s="734"/>
      <c r="T82" s="734"/>
      <c r="U82" s="734"/>
      <c r="V82" s="734"/>
      <c r="W82" s="732"/>
      <c r="X82" s="734"/>
      <c r="Y82" s="734"/>
      <c r="Z82" s="747"/>
      <c r="AA82" s="748"/>
      <c r="AB82" s="576"/>
      <c r="AC82" s="576"/>
      <c r="AD82" s="576"/>
      <c r="AE82" s="576"/>
      <c r="AF82" s="576"/>
      <c r="AG82" s="576"/>
      <c r="AH82" s="576"/>
      <c r="AI82" s="576"/>
      <c r="AJ82" s="576"/>
      <c r="AK82" s="576"/>
      <c r="AL82" s="576"/>
      <c r="AM82" s="576"/>
      <c r="AN82" s="576"/>
      <c r="AO82" s="576"/>
      <c r="AP82" s="576"/>
      <c r="AQ82" s="576"/>
      <c r="AR82" s="576"/>
      <c r="AS82" s="576"/>
      <c r="AT82" s="576"/>
      <c r="AU82" s="576"/>
      <c r="AV82" s="576"/>
      <c r="AW82" s="576"/>
      <c r="AX82" s="576"/>
      <c r="AY82" s="576"/>
      <c r="AZ82" s="576"/>
      <c r="BA82" s="576"/>
      <c r="BB82" s="576"/>
      <c r="BC82" s="576"/>
      <c r="BD82" s="576"/>
      <c r="BE82" s="576"/>
      <c r="BF82" s="576"/>
      <c r="BG82" s="576"/>
      <c r="BH82" s="576"/>
      <c r="BI82" s="576"/>
      <c r="BJ82" s="576"/>
      <c r="BK82" s="576"/>
      <c r="BL82" s="576"/>
      <c r="BM82" s="576"/>
    </row>
    <row r="83" s="577" customFormat="1" ht="16.35" customHeight="1" outlineLevel="2" collapsed="1" spans="1:65">
      <c r="A83" s="591"/>
      <c r="B83" s="598" t="s">
        <v>848</v>
      </c>
      <c r="C83" s="599" t="s">
        <v>778</v>
      </c>
      <c r="D83" s="602" t="s">
        <v>849</v>
      </c>
      <c r="E83" s="602"/>
      <c r="F83" s="706"/>
      <c r="G83" s="706"/>
      <c r="H83" s="706"/>
      <c r="I83" s="706"/>
      <c r="J83" s="706"/>
      <c r="K83" s="721">
        <v>0.11</v>
      </c>
      <c r="L83" s="601">
        <v>0</v>
      </c>
      <c r="M83" s="601">
        <v>0</v>
      </c>
      <c r="N83" s="635">
        <v>0</v>
      </c>
      <c r="O83" s="724"/>
      <c r="P83" s="725"/>
      <c r="Q83" s="735"/>
      <c r="R83" s="736"/>
      <c r="S83" s="726"/>
      <c r="T83" s="726"/>
      <c r="U83" s="726"/>
      <c r="V83" s="726"/>
      <c r="W83" s="735"/>
      <c r="X83" s="726"/>
      <c r="Y83" s="726"/>
      <c r="Z83" s="749"/>
      <c r="AA83" s="748"/>
      <c r="AB83" s="576"/>
      <c r="AC83" s="576"/>
      <c r="AD83" s="576"/>
      <c r="AE83" s="576"/>
      <c r="AF83" s="576"/>
      <c r="AG83" s="576"/>
      <c r="AH83" s="576"/>
      <c r="AI83" s="576"/>
      <c r="AJ83" s="576"/>
      <c r="AK83" s="576"/>
      <c r="AL83" s="576"/>
      <c r="AM83" s="576"/>
      <c r="AN83" s="576"/>
      <c r="AO83" s="576"/>
      <c r="AP83" s="576"/>
      <c r="AQ83" s="576"/>
      <c r="AR83" s="576"/>
      <c r="AS83" s="576"/>
      <c r="AT83" s="576"/>
      <c r="AU83" s="576"/>
      <c r="AV83" s="576"/>
      <c r="AW83" s="576"/>
      <c r="AX83" s="576"/>
      <c r="AY83" s="576"/>
      <c r="AZ83" s="576"/>
      <c r="BA83" s="576"/>
      <c r="BB83" s="576"/>
      <c r="BC83" s="576"/>
      <c r="BD83" s="576"/>
      <c r="BE83" s="576"/>
      <c r="BF83" s="576"/>
      <c r="BG83" s="576"/>
      <c r="BH83" s="576"/>
      <c r="BI83" s="576"/>
      <c r="BJ83" s="576"/>
      <c r="BK83" s="576"/>
      <c r="BL83" s="576"/>
      <c r="BM83" s="576"/>
    </row>
    <row r="84" s="577" customFormat="1" ht="16.35" customHeight="1" outlineLevel="2" spans="1:65">
      <c r="A84" s="591"/>
      <c r="B84" s="598" t="s">
        <v>851</v>
      </c>
      <c r="C84" s="599" t="s">
        <v>781</v>
      </c>
      <c r="D84" s="602" t="s">
        <v>852</v>
      </c>
      <c r="E84" s="602"/>
      <c r="F84" s="706"/>
      <c r="G84" s="706"/>
      <c r="H84" s="706"/>
      <c r="I84" s="706"/>
      <c r="J84" s="706"/>
      <c r="K84" s="706"/>
      <c r="L84" s="706"/>
      <c r="M84" s="706"/>
      <c r="N84" s="726"/>
      <c r="O84" s="724"/>
      <c r="P84" s="725"/>
      <c r="Q84" s="735"/>
      <c r="R84" s="736"/>
      <c r="S84" s="726"/>
      <c r="T84" s="726"/>
      <c r="U84" s="726"/>
      <c r="V84" s="726"/>
      <c r="W84" s="735"/>
      <c r="X84" s="726"/>
      <c r="Y84" s="726"/>
      <c r="Z84" s="749"/>
      <c r="AA84" s="748"/>
      <c r="AB84" s="576"/>
      <c r="AC84" s="576"/>
      <c r="AD84" s="576"/>
      <c r="AE84" s="576"/>
      <c r="AF84" s="576"/>
      <c r="AG84" s="576"/>
      <c r="AH84" s="576"/>
      <c r="AI84" s="576"/>
      <c r="AJ84" s="576"/>
      <c r="AK84" s="576"/>
      <c r="AL84" s="576"/>
      <c r="AM84" s="576"/>
      <c r="AN84" s="576"/>
      <c r="AO84" s="576"/>
      <c r="AP84" s="576"/>
      <c r="AQ84" s="576"/>
      <c r="AR84" s="576"/>
      <c r="AS84" s="576"/>
      <c r="AT84" s="576"/>
      <c r="AU84" s="576"/>
      <c r="AV84" s="576"/>
      <c r="AW84" s="576"/>
      <c r="AX84" s="576"/>
      <c r="AY84" s="576"/>
      <c r="AZ84" s="576"/>
      <c r="BA84" s="576"/>
      <c r="BB84" s="576"/>
      <c r="BC84" s="576"/>
      <c r="BD84" s="576"/>
      <c r="BE84" s="576"/>
      <c r="BF84" s="576"/>
      <c r="BG84" s="576"/>
      <c r="BH84" s="576"/>
      <c r="BI84" s="576"/>
      <c r="BJ84" s="576"/>
      <c r="BK84" s="576"/>
      <c r="BL84" s="576"/>
      <c r="BM84" s="576"/>
    </row>
    <row r="85" s="577" customFormat="1" ht="16.35" customHeight="1" outlineLevel="3" spans="1:65">
      <c r="A85" s="591"/>
      <c r="B85" s="598" t="s">
        <v>853</v>
      </c>
      <c r="C85" s="599" t="s">
        <v>622</v>
      </c>
      <c r="D85" s="602" t="s">
        <v>854</v>
      </c>
      <c r="E85" s="602"/>
      <c r="F85" s="706"/>
      <c r="G85" s="706"/>
      <c r="H85" s="706"/>
      <c r="I85" s="706"/>
      <c r="J85" s="706"/>
      <c r="K85" s="721">
        <v>0.11</v>
      </c>
      <c r="L85" s="601">
        <v>0</v>
      </c>
      <c r="M85" s="601">
        <v>0</v>
      </c>
      <c r="N85" s="635">
        <v>0</v>
      </c>
      <c r="O85" s="724"/>
      <c r="P85" s="725"/>
      <c r="Q85" s="735"/>
      <c r="R85" s="736"/>
      <c r="S85" s="726"/>
      <c r="T85" s="726"/>
      <c r="U85" s="726"/>
      <c r="V85" s="726"/>
      <c r="W85" s="735"/>
      <c r="X85" s="726"/>
      <c r="Y85" s="726"/>
      <c r="Z85" s="749"/>
      <c r="AA85" s="748"/>
      <c r="AB85" s="576"/>
      <c r="AC85" s="576"/>
      <c r="AD85" s="576"/>
      <c r="AE85" s="576"/>
      <c r="AF85" s="576"/>
      <c r="AG85" s="576"/>
      <c r="AH85" s="576"/>
      <c r="AI85" s="576"/>
      <c r="AJ85" s="576"/>
      <c r="AK85" s="576"/>
      <c r="AL85" s="576"/>
      <c r="AM85" s="576"/>
      <c r="AN85" s="576"/>
      <c r="AO85" s="576"/>
      <c r="AP85" s="576"/>
      <c r="AQ85" s="576"/>
      <c r="AR85" s="576"/>
      <c r="AS85" s="576"/>
      <c r="AT85" s="576"/>
      <c r="AU85" s="576"/>
      <c r="AV85" s="576"/>
      <c r="AW85" s="576"/>
      <c r="AX85" s="576"/>
      <c r="AY85" s="576"/>
      <c r="AZ85" s="576"/>
      <c r="BA85" s="576"/>
      <c r="BB85" s="576"/>
      <c r="BC85" s="576"/>
      <c r="BD85" s="576"/>
      <c r="BE85" s="576"/>
      <c r="BF85" s="576"/>
      <c r="BG85" s="576"/>
      <c r="BH85" s="576"/>
      <c r="BI85" s="576"/>
      <c r="BJ85" s="576"/>
      <c r="BK85" s="576"/>
      <c r="BL85" s="576"/>
      <c r="BM85" s="576"/>
    </row>
    <row r="86" s="577" customFormat="1" ht="16.35" customHeight="1" outlineLevel="3" spans="1:65">
      <c r="A86" s="591"/>
      <c r="B86" s="598" t="s">
        <v>865</v>
      </c>
      <c r="C86" s="599" t="s">
        <v>622</v>
      </c>
      <c r="D86" s="602" t="s">
        <v>866</v>
      </c>
      <c r="E86" s="602"/>
      <c r="F86" s="706"/>
      <c r="G86" s="706"/>
      <c r="H86" s="706"/>
      <c r="I86" s="706"/>
      <c r="J86" s="706"/>
      <c r="K86" s="721">
        <v>0.11</v>
      </c>
      <c r="L86" s="601">
        <v>0</v>
      </c>
      <c r="M86" s="601">
        <v>0</v>
      </c>
      <c r="N86" s="635">
        <v>0</v>
      </c>
      <c r="O86" s="724"/>
      <c r="P86" s="725"/>
      <c r="Q86" s="735"/>
      <c r="R86" s="736"/>
      <c r="S86" s="726"/>
      <c r="T86" s="726"/>
      <c r="U86" s="726"/>
      <c r="V86" s="726"/>
      <c r="W86" s="735"/>
      <c r="X86" s="726"/>
      <c r="Y86" s="726"/>
      <c r="Z86" s="749"/>
      <c r="AA86" s="748"/>
      <c r="AB86" s="576"/>
      <c r="AC86" s="576"/>
      <c r="AD86" s="576"/>
      <c r="AE86" s="576"/>
      <c r="AF86" s="576"/>
      <c r="AG86" s="576"/>
      <c r="AH86" s="576"/>
      <c r="AI86" s="576"/>
      <c r="AJ86" s="576"/>
      <c r="AK86" s="576"/>
      <c r="AL86" s="576"/>
      <c r="AM86" s="576"/>
      <c r="AN86" s="576"/>
      <c r="AO86" s="576"/>
      <c r="AP86" s="576"/>
      <c r="AQ86" s="576"/>
      <c r="AR86" s="576"/>
      <c r="AS86" s="576"/>
      <c r="AT86" s="576"/>
      <c r="AU86" s="576"/>
      <c r="AV86" s="576"/>
      <c r="AW86" s="576"/>
      <c r="AX86" s="576"/>
      <c r="AY86" s="576"/>
      <c r="AZ86" s="576"/>
      <c r="BA86" s="576"/>
      <c r="BB86" s="576"/>
      <c r="BC86" s="576"/>
      <c r="BD86" s="576"/>
      <c r="BE86" s="576"/>
      <c r="BF86" s="576"/>
      <c r="BG86" s="576"/>
      <c r="BH86" s="576"/>
      <c r="BI86" s="576"/>
      <c r="BJ86" s="576"/>
      <c r="BK86" s="576"/>
      <c r="BL86" s="576"/>
      <c r="BM86" s="576"/>
    </row>
    <row r="87" s="577" customFormat="1" ht="16.35" customHeight="1" outlineLevel="3" spans="1:65">
      <c r="A87" s="591"/>
      <c r="B87" s="598" t="s">
        <v>867</v>
      </c>
      <c r="C87" s="599" t="s">
        <v>622</v>
      </c>
      <c r="D87" s="602" t="s">
        <v>868</v>
      </c>
      <c r="E87" s="602"/>
      <c r="F87" s="706"/>
      <c r="G87" s="706"/>
      <c r="H87" s="706"/>
      <c r="I87" s="706"/>
      <c r="J87" s="706"/>
      <c r="K87" s="721">
        <v>0.11</v>
      </c>
      <c r="L87" s="601">
        <v>0</v>
      </c>
      <c r="M87" s="601">
        <v>0</v>
      </c>
      <c r="N87" s="635">
        <v>0</v>
      </c>
      <c r="O87" s="724"/>
      <c r="P87" s="725"/>
      <c r="Q87" s="735"/>
      <c r="R87" s="736"/>
      <c r="S87" s="726"/>
      <c r="T87" s="726"/>
      <c r="U87" s="726"/>
      <c r="V87" s="726"/>
      <c r="W87" s="735"/>
      <c r="X87" s="726"/>
      <c r="Y87" s="726"/>
      <c r="Z87" s="749"/>
      <c r="AA87" s="748"/>
      <c r="AB87" s="576"/>
      <c r="AC87" s="576"/>
      <c r="AD87" s="576"/>
      <c r="AE87" s="576"/>
      <c r="AF87" s="576"/>
      <c r="AG87" s="576"/>
      <c r="AH87" s="576"/>
      <c r="AI87" s="576"/>
      <c r="AJ87" s="576"/>
      <c r="AK87" s="576"/>
      <c r="AL87" s="576"/>
      <c r="AM87" s="576"/>
      <c r="AN87" s="576"/>
      <c r="AO87" s="576"/>
      <c r="AP87" s="576"/>
      <c r="AQ87" s="576"/>
      <c r="AR87" s="576"/>
      <c r="AS87" s="576"/>
      <c r="AT87" s="576"/>
      <c r="AU87" s="576"/>
      <c r="AV87" s="576"/>
      <c r="AW87" s="576"/>
      <c r="AX87" s="576"/>
      <c r="AY87" s="576"/>
      <c r="AZ87" s="576"/>
      <c r="BA87" s="576"/>
      <c r="BB87" s="576"/>
      <c r="BC87" s="576"/>
      <c r="BD87" s="576"/>
      <c r="BE87" s="576"/>
      <c r="BF87" s="576"/>
      <c r="BG87" s="576"/>
      <c r="BH87" s="576"/>
      <c r="BI87" s="576"/>
      <c r="BJ87" s="576"/>
      <c r="BK87" s="576"/>
      <c r="BL87" s="576"/>
      <c r="BM87" s="576"/>
    </row>
    <row r="88" s="576" customFormat="1" ht="16.5" customHeight="1" outlineLevel="1" spans="1:27">
      <c r="A88" s="591"/>
      <c r="B88" s="595" t="s">
        <v>531</v>
      </c>
      <c r="C88" s="596">
        <v>4</v>
      </c>
      <c r="D88" s="597" t="s">
        <v>532</v>
      </c>
      <c r="E88" s="597"/>
      <c r="F88" s="185"/>
      <c r="G88" s="185"/>
      <c r="H88" s="185"/>
      <c r="I88" s="185"/>
      <c r="J88" s="185"/>
      <c r="K88" s="185"/>
      <c r="L88" s="185"/>
      <c r="M88" s="185"/>
      <c r="N88" s="645">
        <v>0</v>
      </c>
      <c r="O88" s="632"/>
      <c r="P88" s="633" t="s">
        <v>1452</v>
      </c>
      <c r="Q88" s="731">
        <v>581.7</v>
      </c>
      <c r="R88" s="731">
        <v>63.987</v>
      </c>
      <c r="S88" s="731">
        <v>0</v>
      </c>
      <c r="T88" s="731">
        <v>0</v>
      </c>
      <c r="U88" s="731">
        <v>0</v>
      </c>
      <c r="V88" s="731">
        <v>0</v>
      </c>
      <c r="W88" s="718">
        <v>645.687</v>
      </c>
      <c r="X88" s="718">
        <v>0</v>
      </c>
      <c r="Y88" s="718">
        <v>0</v>
      </c>
      <c r="Z88" s="718">
        <v>0</v>
      </c>
      <c r="AA88" s="694"/>
    </row>
    <row r="89" s="576" customFormat="1" ht="16.5" customHeight="1" outlineLevel="2" spans="1:27">
      <c r="A89" s="591"/>
      <c r="B89" s="598" t="s">
        <v>870</v>
      </c>
      <c r="C89" s="599" t="s">
        <v>619</v>
      </c>
      <c r="D89" s="708" t="s">
        <v>871</v>
      </c>
      <c r="E89" s="708" t="s">
        <v>826</v>
      </c>
      <c r="F89" s="601"/>
      <c r="G89" s="375"/>
      <c r="H89" s="375"/>
      <c r="I89" s="301"/>
      <c r="J89" s="375"/>
      <c r="K89" s="375"/>
      <c r="L89" s="727">
        <v>581.7</v>
      </c>
      <c r="M89" s="727">
        <v>63.987</v>
      </c>
      <c r="N89" s="727">
        <v>645.687</v>
      </c>
      <c r="O89" s="635" t="s">
        <v>50</v>
      </c>
      <c r="P89" s="636"/>
      <c r="Q89" s="667">
        <v>581.7</v>
      </c>
      <c r="R89" s="668">
        <v>63.987</v>
      </c>
      <c r="S89" s="669">
        <v>0</v>
      </c>
      <c r="T89" s="669">
        <v>0</v>
      </c>
      <c r="U89" s="669">
        <v>0</v>
      </c>
      <c r="V89" s="669">
        <v>0</v>
      </c>
      <c r="W89" s="667">
        <v>645.687</v>
      </c>
      <c r="X89" s="669"/>
      <c r="Y89" s="669"/>
      <c r="Z89" s="671"/>
      <c r="AA89" s="695" t="s">
        <v>1500</v>
      </c>
    </row>
    <row r="90" s="576" customFormat="1" ht="16.5" customHeight="1" outlineLevel="3" spans="1:27">
      <c r="A90" s="591"/>
      <c r="B90" s="598" t="s">
        <v>1502</v>
      </c>
      <c r="C90" s="599" t="s">
        <v>622</v>
      </c>
      <c r="D90" s="708" t="s">
        <v>1503</v>
      </c>
      <c r="E90" s="708"/>
      <c r="F90" s="601"/>
      <c r="G90" s="375">
        <v>1</v>
      </c>
      <c r="H90" s="375"/>
      <c r="I90" s="301">
        <v>81000</v>
      </c>
      <c r="J90" s="375">
        <v>32</v>
      </c>
      <c r="K90" s="721">
        <v>0.11</v>
      </c>
      <c r="L90" s="601">
        <v>259.2</v>
      </c>
      <c r="M90" s="601">
        <v>28.512</v>
      </c>
      <c r="N90" s="635">
        <v>287.712</v>
      </c>
      <c r="O90" s="635"/>
      <c r="P90" s="636"/>
      <c r="Q90" s="667"/>
      <c r="R90" s="668"/>
      <c r="S90" s="669"/>
      <c r="T90" s="669"/>
      <c r="U90" s="669"/>
      <c r="V90" s="669"/>
      <c r="W90" s="667"/>
      <c r="X90" s="669"/>
      <c r="Y90" s="669"/>
      <c r="Z90" s="671"/>
      <c r="AA90" s="695"/>
    </row>
    <row r="91" s="576" customFormat="1" ht="16.5" customHeight="1" outlineLevel="3" spans="1:27">
      <c r="A91" s="591"/>
      <c r="B91" s="598" t="s">
        <v>1504</v>
      </c>
      <c r="C91" s="599" t="s">
        <v>622</v>
      </c>
      <c r="D91" s="708" t="s">
        <v>1505</v>
      </c>
      <c r="E91" s="708"/>
      <c r="F91" s="601"/>
      <c r="G91" s="375">
        <v>3</v>
      </c>
      <c r="H91" s="375"/>
      <c r="I91" s="375">
        <v>43000</v>
      </c>
      <c r="J91" s="375">
        <v>25</v>
      </c>
      <c r="K91" s="721">
        <v>0.11</v>
      </c>
      <c r="L91" s="601">
        <v>322.5</v>
      </c>
      <c r="M91" s="601">
        <v>35.475</v>
      </c>
      <c r="N91" s="635">
        <v>357.975</v>
      </c>
      <c r="O91" s="635"/>
      <c r="P91" s="636"/>
      <c r="Q91" s="667"/>
      <c r="R91" s="668"/>
      <c r="S91" s="669"/>
      <c r="T91" s="669"/>
      <c r="U91" s="669"/>
      <c r="V91" s="669"/>
      <c r="W91" s="667"/>
      <c r="X91" s="669"/>
      <c r="Y91" s="669"/>
      <c r="Z91" s="671"/>
      <c r="AA91" s="695"/>
    </row>
    <row r="92" s="576" customFormat="1" ht="16.5" customHeight="1" outlineLevel="2" collapsed="1" spans="1:27">
      <c r="A92" s="591"/>
      <c r="B92" s="598" t="s">
        <v>872</v>
      </c>
      <c r="C92" s="599" t="s">
        <v>657</v>
      </c>
      <c r="D92" s="708" t="s">
        <v>1506</v>
      </c>
      <c r="E92" s="708"/>
      <c r="F92" s="601"/>
      <c r="G92" s="375"/>
      <c r="H92" s="375"/>
      <c r="I92" s="375"/>
      <c r="J92" s="375"/>
      <c r="K92" s="721">
        <v>0.11</v>
      </c>
      <c r="L92" s="601">
        <v>0</v>
      </c>
      <c r="M92" s="601">
        <v>0</v>
      </c>
      <c r="N92" s="635">
        <v>0</v>
      </c>
      <c r="O92" s="635"/>
      <c r="P92" s="636"/>
      <c r="Q92" s="667"/>
      <c r="R92" s="668"/>
      <c r="S92" s="669"/>
      <c r="T92" s="669"/>
      <c r="U92" s="669"/>
      <c r="V92" s="669"/>
      <c r="W92" s="667"/>
      <c r="X92" s="669"/>
      <c r="Y92" s="669"/>
      <c r="Z92" s="671"/>
      <c r="AA92" s="695"/>
    </row>
    <row r="93" s="576" customFormat="1" ht="16.5" customHeight="1" outlineLevel="2" spans="1:27">
      <c r="A93" s="591"/>
      <c r="B93" s="598" t="s">
        <v>1507</v>
      </c>
      <c r="C93" s="599" t="s">
        <v>762</v>
      </c>
      <c r="D93" s="708" t="s">
        <v>1508</v>
      </c>
      <c r="E93" s="708"/>
      <c r="F93" s="601"/>
      <c r="G93" s="375"/>
      <c r="H93" s="375"/>
      <c r="I93" s="375"/>
      <c r="J93" s="375"/>
      <c r="K93" s="721">
        <v>0.11</v>
      </c>
      <c r="L93" s="601">
        <v>0</v>
      </c>
      <c r="M93" s="601">
        <v>0</v>
      </c>
      <c r="N93" s="635">
        <v>0</v>
      </c>
      <c r="O93" s="635"/>
      <c r="P93" s="636"/>
      <c r="Q93" s="667"/>
      <c r="R93" s="668"/>
      <c r="S93" s="669"/>
      <c r="T93" s="669"/>
      <c r="U93" s="669"/>
      <c r="V93" s="669"/>
      <c r="W93" s="667"/>
      <c r="X93" s="669"/>
      <c r="Y93" s="669"/>
      <c r="Z93" s="671"/>
      <c r="AA93" s="695"/>
    </row>
    <row r="94" s="576" customFormat="1" ht="16.35" customHeight="1" spans="1:27">
      <c r="A94" s="591"/>
      <c r="B94" s="592" t="s">
        <v>875</v>
      </c>
      <c r="C94" s="593" t="s">
        <v>533</v>
      </c>
      <c r="D94" s="468" t="s">
        <v>1509</v>
      </c>
      <c r="E94" s="468"/>
      <c r="F94" s="594"/>
      <c r="G94" s="594"/>
      <c r="H94" s="594"/>
      <c r="I94" s="594"/>
      <c r="J94" s="594"/>
      <c r="K94" s="594"/>
      <c r="L94" s="594"/>
      <c r="M94" s="594"/>
      <c r="N94" s="629"/>
      <c r="O94" s="630"/>
      <c r="P94" s="631"/>
      <c r="Q94" s="676"/>
      <c r="R94" s="737"/>
      <c r="S94" s="677"/>
      <c r="T94" s="677"/>
      <c r="U94" s="677"/>
      <c r="V94" s="677"/>
      <c r="W94" s="676"/>
      <c r="X94" s="677"/>
      <c r="Y94" s="677"/>
      <c r="Z94" s="750"/>
      <c r="AA94" s="693"/>
    </row>
    <row r="95" s="576" customFormat="1" ht="23.25" customHeight="1" outlineLevel="1" spans="1:27">
      <c r="A95" s="591"/>
      <c r="B95" s="709" t="s">
        <v>540</v>
      </c>
      <c r="C95" s="710">
        <v>3</v>
      </c>
      <c r="D95" s="711" t="s">
        <v>1510</v>
      </c>
      <c r="E95" s="711"/>
      <c r="F95" s="185"/>
      <c r="G95" s="185"/>
      <c r="H95" s="185"/>
      <c r="I95" s="185"/>
      <c r="J95" s="185"/>
      <c r="K95" s="185"/>
      <c r="L95" s="185"/>
      <c r="M95" s="185"/>
      <c r="N95" s="632"/>
      <c r="O95" s="632"/>
      <c r="P95" s="633"/>
      <c r="Q95" s="738"/>
      <c r="R95" s="739"/>
      <c r="S95" s="740"/>
      <c r="T95" s="740"/>
      <c r="U95" s="740"/>
      <c r="V95" s="740"/>
      <c r="W95" s="738"/>
      <c r="X95" s="740"/>
      <c r="Y95" s="740"/>
      <c r="Z95" s="751"/>
      <c r="AA95" s="694"/>
    </row>
    <row r="96" s="577" customFormat="1" ht="14.25" customHeight="1" outlineLevel="2" spans="1:65">
      <c r="A96" s="591"/>
      <c r="B96" s="598" t="s">
        <v>876</v>
      </c>
      <c r="C96" s="599" t="s">
        <v>619</v>
      </c>
      <c r="D96" s="712" t="s">
        <v>877</v>
      </c>
      <c r="E96" s="712"/>
      <c r="F96" s="601"/>
      <c r="G96" s="601"/>
      <c r="H96" s="601"/>
      <c r="I96" s="601"/>
      <c r="J96" s="601"/>
      <c r="K96" s="601"/>
      <c r="L96" s="601"/>
      <c r="M96" s="601"/>
      <c r="N96" s="646"/>
      <c r="O96" s="635"/>
      <c r="P96" s="636"/>
      <c r="Q96" s="667"/>
      <c r="R96" s="668"/>
      <c r="S96" s="669"/>
      <c r="T96" s="669"/>
      <c r="U96" s="669"/>
      <c r="V96" s="669"/>
      <c r="W96" s="667"/>
      <c r="X96" s="669"/>
      <c r="Y96" s="669"/>
      <c r="Z96" s="671"/>
      <c r="AA96" s="695"/>
      <c r="AB96" s="576"/>
      <c r="AC96" s="576"/>
      <c r="AD96" s="576"/>
      <c r="AE96" s="576"/>
      <c r="AF96" s="576"/>
      <c r="AG96" s="576"/>
      <c r="AH96" s="576"/>
      <c r="AI96" s="576"/>
      <c r="AJ96" s="576"/>
      <c r="AK96" s="576"/>
      <c r="AL96" s="576"/>
      <c r="AM96" s="576"/>
      <c r="AN96" s="576"/>
      <c r="AO96" s="576"/>
      <c r="AP96" s="576"/>
      <c r="AQ96" s="576"/>
      <c r="AR96" s="576"/>
      <c r="AS96" s="576"/>
      <c r="AT96" s="576"/>
      <c r="AU96" s="576"/>
      <c r="AV96" s="576"/>
      <c r="AW96" s="576"/>
      <c r="AX96" s="576"/>
      <c r="AY96" s="576"/>
      <c r="AZ96" s="576"/>
      <c r="BA96" s="576"/>
      <c r="BB96" s="576"/>
      <c r="BC96" s="576"/>
      <c r="BD96" s="576"/>
      <c r="BE96" s="576"/>
      <c r="BF96" s="576"/>
      <c r="BG96" s="576"/>
      <c r="BH96" s="576"/>
      <c r="BI96" s="576"/>
      <c r="BJ96" s="576"/>
      <c r="BK96" s="576"/>
      <c r="BL96" s="576"/>
      <c r="BM96" s="576"/>
    </row>
    <row r="97" s="578" customFormat="1" ht="14.25" customHeight="1" outlineLevel="3" spans="1:65">
      <c r="A97" s="591"/>
      <c r="B97" s="598" t="s">
        <v>878</v>
      </c>
      <c r="C97" s="599" t="s">
        <v>622</v>
      </c>
      <c r="D97" s="523" t="s">
        <v>879</v>
      </c>
      <c r="E97" s="523"/>
      <c r="F97" s="713"/>
      <c r="G97" s="713"/>
      <c r="H97" s="713"/>
      <c r="I97" s="713"/>
      <c r="J97" s="713"/>
      <c r="K97" s="713"/>
      <c r="L97" s="713"/>
      <c r="M97" s="713"/>
      <c r="N97" s="713"/>
      <c r="O97" s="713"/>
      <c r="P97" s="728"/>
      <c r="Q97" s="741"/>
      <c r="R97" s="742"/>
      <c r="S97" s="713"/>
      <c r="T97" s="713"/>
      <c r="U97" s="713"/>
      <c r="V97" s="713"/>
      <c r="W97" s="741"/>
      <c r="X97" s="713"/>
      <c r="Y97" s="713"/>
      <c r="Z97" s="752"/>
      <c r="AA97" s="753"/>
      <c r="AB97" s="754"/>
      <c r="AC97" s="754"/>
      <c r="AD97" s="754"/>
      <c r="AE97" s="754"/>
      <c r="AF97" s="754"/>
      <c r="AG97" s="754"/>
      <c r="AH97" s="754"/>
      <c r="AI97" s="754"/>
      <c r="AJ97" s="754"/>
      <c r="AK97" s="754"/>
      <c r="AL97" s="754"/>
      <c r="AM97" s="754"/>
      <c r="AN97" s="754"/>
      <c r="AO97" s="754"/>
      <c r="AP97" s="754"/>
      <c r="AQ97" s="754"/>
      <c r="AR97" s="754"/>
      <c r="AS97" s="754"/>
      <c r="AT97" s="754"/>
      <c r="AU97" s="754"/>
      <c r="AV97" s="754"/>
      <c r="AW97" s="754"/>
      <c r="AX97" s="754"/>
      <c r="AY97" s="754"/>
      <c r="AZ97" s="754"/>
      <c r="BA97" s="754"/>
      <c r="BB97" s="754"/>
      <c r="BC97" s="754"/>
      <c r="BD97" s="754"/>
      <c r="BE97" s="754"/>
      <c r="BF97" s="754"/>
      <c r="BG97" s="754"/>
      <c r="BH97" s="754"/>
      <c r="BI97" s="754"/>
      <c r="BJ97" s="754"/>
      <c r="BK97" s="754"/>
      <c r="BL97" s="754"/>
      <c r="BM97" s="754"/>
    </row>
    <row r="98" s="578" customFormat="1" ht="14.25" customHeight="1" outlineLevel="3" spans="1:65">
      <c r="A98" s="591"/>
      <c r="B98" s="598" t="s">
        <v>881</v>
      </c>
      <c r="C98" s="599" t="s">
        <v>622</v>
      </c>
      <c r="D98" s="523" t="s">
        <v>882</v>
      </c>
      <c r="E98" s="523"/>
      <c r="F98" s="713"/>
      <c r="G98" s="713"/>
      <c r="H98" s="713"/>
      <c r="I98" s="713"/>
      <c r="J98" s="713"/>
      <c r="K98" s="713"/>
      <c r="L98" s="713"/>
      <c r="M98" s="713"/>
      <c r="N98" s="713"/>
      <c r="O98" s="713"/>
      <c r="P98" s="728"/>
      <c r="Q98" s="741"/>
      <c r="R98" s="742"/>
      <c r="S98" s="713"/>
      <c r="T98" s="713"/>
      <c r="U98" s="713"/>
      <c r="V98" s="713"/>
      <c r="W98" s="741"/>
      <c r="X98" s="713"/>
      <c r="Y98" s="713"/>
      <c r="Z98" s="752"/>
      <c r="AA98" s="753"/>
      <c r="AB98" s="754"/>
      <c r="AC98" s="754"/>
      <c r="AD98" s="754"/>
      <c r="AE98" s="754"/>
      <c r="AF98" s="754"/>
      <c r="AG98" s="754"/>
      <c r="AH98" s="754"/>
      <c r="AI98" s="754"/>
      <c r="AJ98" s="754"/>
      <c r="AK98" s="754"/>
      <c r="AL98" s="754"/>
      <c r="AM98" s="754"/>
      <c r="AN98" s="754"/>
      <c r="AO98" s="754"/>
      <c r="AP98" s="754"/>
      <c r="AQ98" s="754"/>
      <c r="AR98" s="754"/>
      <c r="AS98" s="754"/>
      <c r="AT98" s="754"/>
      <c r="AU98" s="754"/>
      <c r="AV98" s="754"/>
      <c r="AW98" s="754"/>
      <c r="AX98" s="754"/>
      <c r="AY98" s="754"/>
      <c r="AZ98" s="754"/>
      <c r="BA98" s="754"/>
      <c r="BB98" s="754"/>
      <c r="BC98" s="754"/>
      <c r="BD98" s="754"/>
      <c r="BE98" s="754"/>
      <c r="BF98" s="754"/>
      <c r="BG98" s="754"/>
      <c r="BH98" s="754"/>
      <c r="BI98" s="754"/>
      <c r="BJ98" s="754"/>
      <c r="BK98" s="754"/>
      <c r="BL98" s="754"/>
      <c r="BM98" s="754"/>
    </row>
    <row r="99" s="578" customFormat="1" ht="14.25" customHeight="1" outlineLevel="3" spans="1:65">
      <c r="A99" s="591"/>
      <c r="B99" s="598" t="s">
        <v>883</v>
      </c>
      <c r="C99" s="599" t="s">
        <v>622</v>
      </c>
      <c r="D99" s="523" t="s">
        <v>884</v>
      </c>
      <c r="E99" s="523"/>
      <c r="F99" s="713"/>
      <c r="G99" s="713"/>
      <c r="H99" s="713"/>
      <c r="I99" s="713"/>
      <c r="J99" s="713"/>
      <c r="K99" s="713"/>
      <c r="L99" s="713"/>
      <c r="M99" s="713"/>
      <c r="N99" s="713"/>
      <c r="O99" s="713"/>
      <c r="P99" s="728"/>
      <c r="Q99" s="741"/>
      <c r="R99" s="742"/>
      <c r="S99" s="713"/>
      <c r="T99" s="713"/>
      <c r="U99" s="713"/>
      <c r="V99" s="713"/>
      <c r="W99" s="741"/>
      <c r="X99" s="713"/>
      <c r="Y99" s="713"/>
      <c r="Z99" s="752"/>
      <c r="AA99" s="753"/>
      <c r="AB99" s="754"/>
      <c r="AC99" s="754"/>
      <c r="AD99" s="754"/>
      <c r="AE99" s="754"/>
      <c r="AF99" s="754"/>
      <c r="AG99" s="754"/>
      <c r="AH99" s="754"/>
      <c r="AI99" s="754"/>
      <c r="AJ99" s="754"/>
      <c r="AK99" s="754"/>
      <c r="AL99" s="754"/>
      <c r="AM99" s="754"/>
      <c r="AN99" s="754"/>
      <c r="AO99" s="754"/>
      <c r="AP99" s="754"/>
      <c r="AQ99" s="754"/>
      <c r="AR99" s="754"/>
      <c r="AS99" s="754"/>
      <c r="AT99" s="754"/>
      <c r="AU99" s="754"/>
      <c r="AV99" s="754"/>
      <c r="AW99" s="754"/>
      <c r="AX99" s="754"/>
      <c r="AY99" s="754"/>
      <c r="AZ99" s="754"/>
      <c r="BA99" s="754"/>
      <c r="BB99" s="754"/>
      <c r="BC99" s="754"/>
      <c r="BD99" s="754"/>
      <c r="BE99" s="754"/>
      <c r="BF99" s="754"/>
      <c r="BG99" s="754"/>
      <c r="BH99" s="754"/>
      <c r="BI99" s="754"/>
      <c r="BJ99" s="754"/>
      <c r="BK99" s="754"/>
      <c r="BL99" s="754"/>
      <c r="BM99" s="754"/>
    </row>
    <row r="100" s="578" customFormat="1" ht="14.25" customHeight="1" outlineLevel="3" spans="1:65">
      <c r="A100" s="591"/>
      <c r="B100" s="598" t="s">
        <v>885</v>
      </c>
      <c r="C100" s="599" t="s">
        <v>622</v>
      </c>
      <c r="D100" s="523" t="s">
        <v>1511</v>
      </c>
      <c r="E100" s="523"/>
      <c r="F100" s="713"/>
      <c r="G100" s="713"/>
      <c r="H100" s="713"/>
      <c r="I100" s="713"/>
      <c r="J100" s="713"/>
      <c r="K100" s="713"/>
      <c r="L100" s="713"/>
      <c r="M100" s="713"/>
      <c r="N100" s="713"/>
      <c r="O100" s="713"/>
      <c r="P100" s="728"/>
      <c r="Q100" s="741"/>
      <c r="R100" s="742"/>
      <c r="S100" s="713"/>
      <c r="T100" s="713"/>
      <c r="U100" s="713"/>
      <c r="V100" s="713"/>
      <c r="W100" s="741"/>
      <c r="X100" s="713"/>
      <c r="Y100" s="713"/>
      <c r="Z100" s="752"/>
      <c r="AA100" s="753"/>
      <c r="AB100" s="754"/>
      <c r="AC100" s="754"/>
      <c r="AD100" s="754"/>
      <c r="AE100" s="754"/>
      <c r="AF100" s="754"/>
      <c r="AG100" s="754"/>
      <c r="AH100" s="754"/>
      <c r="AI100" s="754"/>
      <c r="AJ100" s="754"/>
      <c r="AK100" s="754"/>
      <c r="AL100" s="754"/>
      <c r="AM100" s="754"/>
      <c r="AN100" s="754"/>
      <c r="AO100" s="754"/>
      <c r="AP100" s="754"/>
      <c r="AQ100" s="754"/>
      <c r="AR100" s="754"/>
      <c r="AS100" s="754"/>
      <c r="AT100" s="754"/>
      <c r="AU100" s="754"/>
      <c r="AV100" s="754"/>
      <c r="AW100" s="754"/>
      <c r="AX100" s="754"/>
      <c r="AY100" s="754"/>
      <c r="AZ100" s="754"/>
      <c r="BA100" s="754"/>
      <c r="BB100" s="754"/>
      <c r="BC100" s="754"/>
      <c r="BD100" s="754"/>
      <c r="BE100" s="754"/>
      <c r="BF100" s="754"/>
      <c r="BG100" s="754"/>
      <c r="BH100" s="754"/>
      <c r="BI100" s="754"/>
      <c r="BJ100" s="754"/>
      <c r="BK100" s="754"/>
      <c r="BL100" s="754"/>
      <c r="BM100" s="754"/>
    </row>
    <row r="101" s="578" customFormat="1" ht="14.25" customHeight="1" outlineLevel="3" spans="1:65">
      <c r="A101" s="591"/>
      <c r="B101" s="598" t="s">
        <v>887</v>
      </c>
      <c r="C101" s="599" t="s">
        <v>622</v>
      </c>
      <c r="D101" s="523" t="s">
        <v>1512</v>
      </c>
      <c r="E101" s="523"/>
      <c r="F101" s="713"/>
      <c r="G101" s="713"/>
      <c r="H101" s="713"/>
      <c r="I101" s="713"/>
      <c r="J101" s="713"/>
      <c r="K101" s="713"/>
      <c r="L101" s="713"/>
      <c r="M101" s="713"/>
      <c r="N101" s="713"/>
      <c r="O101" s="713"/>
      <c r="P101" s="728"/>
      <c r="Q101" s="741"/>
      <c r="R101" s="742"/>
      <c r="S101" s="713"/>
      <c r="T101" s="713"/>
      <c r="U101" s="713"/>
      <c r="V101" s="713"/>
      <c r="W101" s="741"/>
      <c r="X101" s="713"/>
      <c r="Y101" s="713"/>
      <c r="Z101" s="752"/>
      <c r="AA101" s="753"/>
      <c r="AB101" s="754"/>
      <c r="AC101" s="754"/>
      <c r="AD101" s="754"/>
      <c r="AE101" s="754"/>
      <c r="AF101" s="754"/>
      <c r="AG101" s="754"/>
      <c r="AH101" s="754"/>
      <c r="AI101" s="754"/>
      <c r="AJ101" s="754"/>
      <c r="AK101" s="754"/>
      <c r="AL101" s="754"/>
      <c r="AM101" s="754"/>
      <c r="AN101" s="754"/>
      <c r="AO101" s="754"/>
      <c r="AP101" s="754"/>
      <c r="AQ101" s="754"/>
      <c r="AR101" s="754"/>
      <c r="AS101" s="754"/>
      <c r="AT101" s="754"/>
      <c r="AU101" s="754"/>
      <c r="AV101" s="754"/>
      <c r="AW101" s="754"/>
      <c r="AX101" s="754"/>
      <c r="AY101" s="754"/>
      <c r="AZ101" s="754"/>
      <c r="BA101" s="754"/>
      <c r="BB101" s="754"/>
      <c r="BC101" s="754"/>
      <c r="BD101" s="754"/>
      <c r="BE101" s="754"/>
      <c r="BF101" s="754"/>
      <c r="BG101" s="754"/>
      <c r="BH101" s="754"/>
      <c r="BI101" s="754"/>
      <c r="BJ101" s="754"/>
      <c r="BK101" s="754"/>
      <c r="BL101" s="754"/>
      <c r="BM101" s="754"/>
    </row>
    <row r="102" s="578" customFormat="1" ht="12" outlineLevel="3" spans="1:65">
      <c r="A102" s="591"/>
      <c r="B102" s="598" t="s">
        <v>1489</v>
      </c>
      <c r="C102" s="599"/>
      <c r="D102" s="606" t="s">
        <v>1489</v>
      </c>
      <c r="E102" s="606"/>
      <c r="F102" s="607" t="s">
        <v>1489</v>
      </c>
      <c r="G102" s="607" t="s">
        <v>1489</v>
      </c>
      <c r="H102" s="607" t="s">
        <v>1489</v>
      </c>
      <c r="I102" s="607" t="s">
        <v>1489</v>
      </c>
      <c r="J102" s="607" t="s">
        <v>1489</v>
      </c>
      <c r="K102" s="607" t="s">
        <v>1489</v>
      </c>
      <c r="L102" s="607" t="s">
        <v>1489</v>
      </c>
      <c r="M102" s="607" t="s">
        <v>1489</v>
      </c>
      <c r="N102" s="607" t="s">
        <v>1489</v>
      </c>
      <c r="O102" s="607"/>
      <c r="P102" s="729" t="s">
        <v>1489</v>
      </c>
      <c r="Q102" s="743" t="s">
        <v>1489</v>
      </c>
      <c r="R102" s="744"/>
      <c r="S102" s="607" t="s">
        <v>1489</v>
      </c>
      <c r="T102" s="607"/>
      <c r="U102" s="607" t="s">
        <v>1489</v>
      </c>
      <c r="V102" s="607" t="s">
        <v>1489</v>
      </c>
      <c r="W102" s="743" t="s">
        <v>1489</v>
      </c>
      <c r="X102" s="607" t="s">
        <v>1489</v>
      </c>
      <c r="Y102" s="607" t="s">
        <v>1489</v>
      </c>
      <c r="Z102" s="698"/>
      <c r="AA102" s="699" t="s">
        <v>1489</v>
      </c>
      <c r="AB102" s="754"/>
      <c r="AC102" s="754"/>
      <c r="AD102" s="754"/>
      <c r="AE102" s="754"/>
      <c r="AF102" s="754"/>
      <c r="AG102" s="754"/>
      <c r="AH102" s="754"/>
      <c r="AI102" s="754"/>
      <c r="AJ102" s="754"/>
      <c r="AK102" s="754"/>
      <c r="AL102" s="754"/>
      <c r="AM102" s="754"/>
      <c r="AN102" s="754"/>
      <c r="AO102" s="754"/>
      <c r="AP102" s="754"/>
      <c r="AQ102" s="754"/>
      <c r="AR102" s="754"/>
      <c r="AS102" s="754"/>
      <c r="AT102" s="754"/>
      <c r="AU102" s="754"/>
      <c r="AV102" s="754"/>
      <c r="AW102" s="754"/>
      <c r="AX102" s="754"/>
      <c r="AY102" s="754"/>
      <c r="AZ102" s="754"/>
      <c r="BA102" s="754"/>
      <c r="BB102" s="754"/>
      <c r="BC102" s="754"/>
      <c r="BD102" s="754"/>
      <c r="BE102" s="754"/>
      <c r="BF102" s="754"/>
      <c r="BG102" s="754"/>
      <c r="BH102" s="754"/>
      <c r="BI102" s="754"/>
      <c r="BJ102" s="754"/>
      <c r="BK102" s="754"/>
      <c r="BL102" s="754"/>
      <c r="BM102" s="754"/>
    </row>
    <row r="103" s="577" customFormat="1" ht="14.1" customHeight="1" outlineLevel="2" spans="1:65">
      <c r="A103" s="591"/>
      <c r="B103" s="598" t="s">
        <v>900</v>
      </c>
      <c r="C103" s="599" t="s">
        <v>657</v>
      </c>
      <c r="D103" s="712" t="s">
        <v>901</v>
      </c>
      <c r="E103" s="712"/>
      <c r="F103" s="601"/>
      <c r="G103" s="601"/>
      <c r="H103" s="601"/>
      <c r="I103" s="601"/>
      <c r="J103" s="601"/>
      <c r="K103" s="601"/>
      <c r="L103" s="601"/>
      <c r="M103" s="601"/>
      <c r="N103" s="646"/>
      <c r="O103" s="635"/>
      <c r="P103" s="636"/>
      <c r="Q103" s="667"/>
      <c r="R103" s="668"/>
      <c r="S103" s="669"/>
      <c r="T103" s="669"/>
      <c r="U103" s="669"/>
      <c r="V103" s="669"/>
      <c r="W103" s="667"/>
      <c r="X103" s="669"/>
      <c r="Y103" s="669"/>
      <c r="Z103" s="671"/>
      <c r="AA103" s="695"/>
      <c r="AB103" s="576"/>
      <c r="AC103" s="576"/>
      <c r="AD103" s="576"/>
      <c r="AE103" s="576"/>
      <c r="AF103" s="576"/>
      <c r="AG103" s="576"/>
      <c r="AH103" s="576"/>
      <c r="AI103" s="576"/>
      <c r="AJ103" s="576"/>
      <c r="AK103" s="576"/>
      <c r="AL103" s="576"/>
      <c r="AM103" s="576"/>
      <c r="AN103" s="576"/>
      <c r="AO103" s="576"/>
      <c r="AP103" s="576"/>
      <c r="AQ103" s="576"/>
      <c r="AR103" s="576"/>
      <c r="AS103" s="576"/>
      <c r="AT103" s="576"/>
      <c r="AU103" s="576"/>
      <c r="AV103" s="576"/>
      <c r="AW103" s="576"/>
      <c r="AX103" s="576"/>
      <c r="AY103" s="576"/>
      <c r="AZ103" s="576"/>
      <c r="BA103" s="576"/>
      <c r="BB103" s="576"/>
      <c r="BC103" s="576"/>
      <c r="BD103" s="576"/>
      <c r="BE103" s="576"/>
      <c r="BF103" s="576"/>
      <c r="BG103" s="576"/>
      <c r="BH103" s="576"/>
      <c r="BI103" s="576"/>
      <c r="BJ103" s="576"/>
      <c r="BK103" s="576"/>
      <c r="BL103" s="576"/>
      <c r="BM103" s="576"/>
    </row>
    <row r="104" s="578" customFormat="1" ht="12" outlineLevel="3" spans="1:65">
      <c r="A104" s="591"/>
      <c r="B104" s="598" t="s">
        <v>902</v>
      </c>
      <c r="C104" s="599" t="s">
        <v>622</v>
      </c>
      <c r="D104" s="714" t="s">
        <v>903</v>
      </c>
      <c r="E104" s="714"/>
      <c r="F104" s="713"/>
      <c r="G104" s="713"/>
      <c r="H104" s="713"/>
      <c r="I104" s="713"/>
      <c r="J104" s="713"/>
      <c r="K104" s="713"/>
      <c r="L104" s="713"/>
      <c r="M104" s="713"/>
      <c r="N104" s="713"/>
      <c r="O104" s="713"/>
      <c r="P104" s="728"/>
      <c r="Q104" s="741"/>
      <c r="R104" s="742"/>
      <c r="S104" s="713"/>
      <c r="T104" s="713"/>
      <c r="U104" s="713"/>
      <c r="V104" s="713"/>
      <c r="W104" s="741"/>
      <c r="X104" s="713"/>
      <c r="Y104" s="713"/>
      <c r="Z104" s="752"/>
      <c r="AA104" s="753"/>
      <c r="AB104" s="754"/>
      <c r="AC104" s="754"/>
      <c r="AD104" s="754"/>
      <c r="AE104" s="754"/>
      <c r="AF104" s="754"/>
      <c r="AG104" s="754"/>
      <c r="AH104" s="754"/>
      <c r="AI104" s="754"/>
      <c r="AJ104" s="754"/>
      <c r="AK104" s="754"/>
      <c r="AL104" s="754"/>
      <c r="AM104" s="754"/>
      <c r="AN104" s="754"/>
      <c r="AO104" s="754"/>
      <c r="AP104" s="754"/>
      <c r="AQ104" s="754"/>
      <c r="AR104" s="754"/>
      <c r="AS104" s="754"/>
      <c r="AT104" s="754"/>
      <c r="AU104" s="754"/>
      <c r="AV104" s="754"/>
      <c r="AW104" s="754"/>
      <c r="AX104" s="754"/>
      <c r="AY104" s="754"/>
      <c r="AZ104" s="754"/>
      <c r="BA104" s="754"/>
      <c r="BB104" s="754"/>
      <c r="BC104" s="754"/>
      <c r="BD104" s="754"/>
      <c r="BE104" s="754"/>
      <c r="BF104" s="754"/>
      <c r="BG104" s="754"/>
      <c r="BH104" s="754"/>
      <c r="BI104" s="754"/>
      <c r="BJ104" s="754"/>
      <c r="BK104" s="754"/>
      <c r="BL104" s="754"/>
      <c r="BM104" s="754"/>
    </row>
    <row r="105" s="578" customFormat="1" ht="12" outlineLevel="3" spans="1:65">
      <c r="A105" s="591"/>
      <c r="B105" s="598" t="s">
        <v>905</v>
      </c>
      <c r="C105" s="599" t="s">
        <v>622</v>
      </c>
      <c r="D105" s="616" t="s">
        <v>906</v>
      </c>
      <c r="E105" s="616"/>
      <c r="F105" s="713"/>
      <c r="G105" s="713"/>
      <c r="H105" s="713"/>
      <c r="I105" s="713"/>
      <c r="J105" s="713"/>
      <c r="K105" s="713"/>
      <c r="L105" s="713"/>
      <c r="M105" s="713"/>
      <c r="N105" s="713"/>
      <c r="O105" s="713"/>
      <c r="P105" s="728"/>
      <c r="Q105" s="741"/>
      <c r="R105" s="742"/>
      <c r="S105" s="713"/>
      <c r="T105" s="713"/>
      <c r="U105" s="713"/>
      <c r="V105" s="713"/>
      <c r="W105" s="741"/>
      <c r="X105" s="713"/>
      <c r="Y105" s="713"/>
      <c r="Z105" s="752"/>
      <c r="AA105" s="753"/>
      <c r="AB105" s="754"/>
      <c r="AC105" s="754"/>
      <c r="AD105" s="754"/>
      <c r="AE105" s="754"/>
      <c r="AF105" s="754"/>
      <c r="AG105" s="754"/>
      <c r="AH105" s="754"/>
      <c r="AI105" s="754"/>
      <c r="AJ105" s="754"/>
      <c r="AK105" s="754"/>
      <c r="AL105" s="754"/>
      <c r="AM105" s="754"/>
      <c r="AN105" s="754"/>
      <c r="AO105" s="754"/>
      <c r="AP105" s="754"/>
      <c r="AQ105" s="754"/>
      <c r="AR105" s="754"/>
      <c r="AS105" s="754"/>
      <c r="AT105" s="754"/>
      <c r="AU105" s="754"/>
      <c r="AV105" s="754"/>
      <c r="AW105" s="754"/>
      <c r="AX105" s="754"/>
      <c r="AY105" s="754"/>
      <c r="AZ105" s="754"/>
      <c r="BA105" s="754"/>
      <c r="BB105" s="754"/>
      <c r="BC105" s="754"/>
      <c r="BD105" s="754"/>
      <c r="BE105" s="754"/>
      <c r="BF105" s="754"/>
      <c r="BG105" s="754"/>
      <c r="BH105" s="754"/>
      <c r="BI105" s="754"/>
      <c r="BJ105" s="754"/>
      <c r="BK105" s="754"/>
      <c r="BL105" s="754"/>
      <c r="BM105" s="754"/>
    </row>
    <row r="106" s="578" customFormat="1" ht="12" outlineLevel="3" spans="1:65">
      <c r="A106" s="591"/>
      <c r="B106" s="598" t="s">
        <v>907</v>
      </c>
      <c r="C106" s="599" t="s">
        <v>622</v>
      </c>
      <c r="D106" s="616" t="s">
        <v>908</v>
      </c>
      <c r="E106" s="616"/>
      <c r="F106" s="713"/>
      <c r="G106" s="713"/>
      <c r="H106" s="713"/>
      <c r="I106" s="713"/>
      <c r="J106" s="713"/>
      <c r="K106" s="713"/>
      <c r="L106" s="713"/>
      <c r="M106" s="713"/>
      <c r="N106" s="713"/>
      <c r="O106" s="713"/>
      <c r="P106" s="728"/>
      <c r="Q106" s="741"/>
      <c r="R106" s="742"/>
      <c r="S106" s="713"/>
      <c r="T106" s="713"/>
      <c r="U106" s="713"/>
      <c r="V106" s="713"/>
      <c r="W106" s="741"/>
      <c r="X106" s="713"/>
      <c r="Y106" s="713"/>
      <c r="Z106" s="752"/>
      <c r="AA106" s="753"/>
      <c r="AB106" s="754"/>
      <c r="AC106" s="754"/>
      <c r="AD106" s="754"/>
      <c r="AE106" s="754"/>
      <c r="AF106" s="754"/>
      <c r="AG106" s="754"/>
      <c r="AH106" s="754"/>
      <c r="AI106" s="754"/>
      <c r="AJ106" s="754"/>
      <c r="AK106" s="754"/>
      <c r="AL106" s="754"/>
      <c r="AM106" s="754"/>
      <c r="AN106" s="754"/>
      <c r="AO106" s="754"/>
      <c r="AP106" s="754"/>
      <c r="AQ106" s="754"/>
      <c r="AR106" s="754"/>
      <c r="AS106" s="754"/>
      <c r="AT106" s="754"/>
      <c r="AU106" s="754"/>
      <c r="AV106" s="754"/>
      <c r="AW106" s="754"/>
      <c r="AX106" s="754"/>
      <c r="AY106" s="754"/>
      <c r="AZ106" s="754"/>
      <c r="BA106" s="754"/>
      <c r="BB106" s="754"/>
      <c r="BC106" s="754"/>
      <c r="BD106" s="754"/>
      <c r="BE106" s="754"/>
      <c r="BF106" s="754"/>
      <c r="BG106" s="754"/>
      <c r="BH106" s="754"/>
      <c r="BI106" s="754"/>
      <c r="BJ106" s="754"/>
      <c r="BK106" s="754"/>
      <c r="BL106" s="754"/>
      <c r="BM106" s="754"/>
    </row>
    <row r="107" s="577" customFormat="1" ht="14.1" customHeight="1" outlineLevel="2" spans="1:65">
      <c r="A107" s="591"/>
      <c r="B107" s="598" t="s">
        <v>909</v>
      </c>
      <c r="C107" s="599" t="s">
        <v>762</v>
      </c>
      <c r="D107" s="712" t="s">
        <v>910</v>
      </c>
      <c r="E107" s="712"/>
      <c r="F107" s="601"/>
      <c r="G107" s="601"/>
      <c r="H107" s="601"/>
      <c r="I107" s="601"/>
      <c r="J107" s="601"/>
      <c r="K107" s="601"/>
      <c r="L107" s="601"/>
      <c r="M107" s="601"/>
      <c r="N107" s="646"/>
      <c r="O107" s="635"/>
      <c r="P107" s="636"/>
      <c r="Q107" s="667"/>
      <c r="R107" s="668"/>
      <c r="S107" s="669"/>
      <c r="T107" s="669"/>
      <c r="U107" s="669"/>
      <c r="V107" s="669"/>
      <c r="W107" s="667"/>
      <c r="X107" s="669"/>
      <c r="Y107" s="669"/>
      <c r="Z107" s="671"/>
      <c r="AA107" s="695"/>
      <c r="AB107" s="576"/>
      <c r="AC107" s="576"/>
      <c r="AD107" s="576"/>
      <c r="AE107" s="576"/>
      <c r="AF107" s="576"/>
      <c r="AG107" s="576"/>
      <c r="AH107" s="576"/>
      <c r="AI107" s="576"/>
      <c r="AJ107" s="576"/>
      <c r="AK107" s="576"/>
      <c r="AL107" s="576"/>
      <c r="AM107" s="576"/>
      <c r="AN107" s="576"/>
      <c r="AO107" s="576"/>
      <c r="AP107" s="576"/>
      <c r="AQ107" s="576"/>
      <c r="AR107" s="576"/>
      <c r="AS107" s="576"/>
      <c r="AT107" s="576"/>
      <c r="AU107" s="576"/>
      <c r="AV107" s="576"/>
      <c r="AW107" s="576"/>
      <c r="AX107" s="576"/>
      <c r="AY107" s="576"/>
      <c r="AZ107" s="576"/>
      <c r="BA107" s="576"/>
      <c r="BB107" s="576"/>
      <c r="BC107" s="576"/>
      <c r="BD107" s="576"/>
      <c r="BE107" s="576"/>
      <c r="BF107" s="576"/>
      <c r="BG107" s="576"/>
      <c r="BH107" s="576"/>
      <c r="BI107" s="576"/>
      <c r="BJ107" s="576"/>
      <c r="BK107" s="576"/>
      <c r="BL107" s="576"/>
      <c r="BM107" s="576"/>
    </row>
    <row r="108" s="578" customFormat="1" ht="12" outlineLevel="3" spans="1:65">
      <c r="A108" s="591"/>
      <c r="B108" s="598" t="s">
        <v>911</v>
      </c>
      <c r="C108" s="599" t="s">
        <v>622</v>
      </c>
      <c r="D108" s="714" t="s">
        <v>912</v>
      </c>
      <c r="E108" s="714"/>
      <c r="F108" s="713"/>
      <c r="G108" s="713"/>
      <c r="H108" s="713"/>
      <c r="I108" s="713"/>
      <c r="J108" s="713"/>
      <c r="K108" s="713"/>
      <c r="L108" s="713"/>
      <c r="M108" s="713"/>
      <c r="N108" s="713"/>
      <c r="O108" s="713"/>
      <c r="P108" s="728"/>
      <c r="Q108" s="741"/>
      <c r="R108" s="742"/>
      <c r="S108" s="713"/>
      <c r="T108" s="713"/>
      <c r="U108" s="713"/>
      <c r="V108" s="713"/>
      <c r="W108" s="741"/>
      <c r="X108" s="713"/>
      <c r="Y108" s="713"/>
      <c r="Z108" s="752"/>
      <c r="AA108" s="753"/>
      <c r="AB108" s="754"/>
      <c r="AC108" s="754"/>
      <c r="AD108" s="754"/>
      <c r="AE108" s="754"/>
      <c r="AF108" s="754"/>
      <c r="AG108" s="754"/>
      <c r="AH108" s="754"/>
      <c r="AI108" s="754"/>
      <c r="AJ108" s="754"/>
      <c r="AK108" s="754"/>
      <c r="AL108" s="754"/>
      <c r="AM108" s="754"/>
      <c r="AN108" s="754"/>
      <c r="AO108" s="754"/>
      <c r="AP108" s="754"/>
      <c r="AQ108" s="754"/>
      <c r="AR108" s="754"/>
      <c r="AS108" s="754"/>
      <c r="AT108" s="754"/>
      <c r="AU108" s="754"/>
      <c r="AV108" s="754"/>
      <c r="AW108" s="754"/>
      <c r="AX108" s="754"/>
      <c r="AY108" s="754"/>
      <c r="AZ108" s="754"/>
      <c r="BA108" s="754"/>
      <c r="BB108" s="754"/>
      <c r="BC108" s="754"/>
      <c r="BD108" s="754"/>
      <c r="BE108" s="754"/>
      <c r="BF108" s="754"/>
      <c r="BG108" s="754"/>
      <c r="BH108" s="754"/>
      <c r="BI108" s="754"/>
      <c r="BJ108" s="754"/>
      <c r="BK108" s="754"/>
      <c r="BL108" s="754"/>
      <c r="BM108" s="754"/>
    </row>
    <row r="109" s="578" customFormat="1" ht="12" outlineLevel="3" spans="1:65">
      <c r="A109" s="591"/>
      <c r="B109" s="598" t="s">
        <v>922</v>
      </c>
      <c r="C109" s="599" t="s">
        <v>622</v>
      </c>
      <c r="D109" s="616" t="s">
        <v>1513</v>
      </c>
      <c r="E109" s="616"/>
      <c r="F109" s="713"/>
      <c r="G109" s="713"/>
      <c r="H109" s="713"/>
      <c r="I109" s="713"/>
      <c r="J109" s="713"/>
      <c r="K109" s="713"/>
      <c r="L109" s="713"/>
      <c r="M109" s="713"/>
      <c r="N109" s="713"/>
      <c r="O109" s="713"/>
      <c r="P109" s="728"/>
      <c r="Q109" s="741"/>
      <c r="R109" s="742"/>
      <c r="S109" s="713"/>
      <c r="T109" s="713"/>
      <c r="U109" s="713"/>
      <c r="V109" s="713"/>
      <c r="W109" s="741"/>
      <c r="X109" s="713"/>
      <c r="Y109" s="713"/>
      <c r="Z109" s="752"/>
      <c r="AA109" s="753"/>
      <c r="AB109" s="754"/>
      <c r="AC109" s="754"/>
      <c r="AD109" s="754"/>
      <c r="AE109" s="754"/>
      <c r="AF109" s="754"/>
      <c r="AG109" s="754"/>
      <c r="AH109" s="754"/>
      <c r="AI109" s="754"/>
      <c r="AJ109" s="754"/>
      <c r="AK109" s="754"/>
      <c r="AL109" s="754"/>
      <c r="AM109" s="754"/>
      <c r="AN109" s="754"/>
      <c r="AO109" s="754"/>
      <c r="AP109" s="754"/>
      <c r="AQ109" s="754"/>
      <c r="AR109" s="754"/>
      <c r="AS109" s="754"/>
      <c r="AT109" s="754"/>
      <c r="AU109" s="754"/>
      <c r="AV109" s="754"/>
      <c r="AW109" s="754"/>
      <c r="AX109" s="754"/>
      <c r="AY109" s="754"/>
      <c r="AZ109" s="754"/>
      <c r="BA109" s="754"/>
      <c r="BB109" s="754"/>
      <c r="BC109" s="754"/>
      <c r="BD109" s="754"/>
      <c r="BE109" s="754"/>
      <c r="BF109" s="754"/>
      <c r="BG109" s="754"/>
      <c r="BH109" s="754"/>
      <c r="BI109" s="754"/>
      <c r="BJ109" s="754"/>
      <c r="BK109" s="754"/>
      <c r="BL109" s="754"/>
      <c r="BM109" s="754"/>
    </row>
    <row r="110" s="577" customFormat="1" ht="14.1" customHeight="1" outlineLevel="2" spans="1:65">
      <c r="A110" s="591"/>
      <c r="B110" s="598" t="s">
        <v>924</v>
      </c>
      <c r="C110" s="599" t="s">
        <v>778</v>
      </c>
      <c r="D110" s="712" t="s">
        <v>925</v>
      </c>
      <c r="E110" s="712"/>
      <c r="F110" s="601"/>
      <c r="G110" s="601"/>
      <c r="H110" s="601"/>
      <c r="I110" s="601"/>
      <c r="J110" s="601"/>
      <c r="K110" s="601"/>
      <c r="L110" s="601"/>
      <c r="M110" s="601"/>
      <c r="N110" s="646"/>
      <c r="O110" s="635"/>
      <c r="P110" s="636"/>
      <c r="Q110" s="667"/>
      <c r="R110" s="668"/>
      <c r="S110" s="669"/>
      <c r="T110" s="669"/>
      <c r="U110" s="669"/>
      <c r="V110" s="669"/>
      <c r="W110" s="667"/>
      <c r="X110" s="669"/>
      <c r="Y110" s="669"/>
      <c r="Z110" s="671"/>
      <c r="AA110" s="695"/>
      <c r="AB110" s="576"/>
      <c r="AC110" s="576"/>
      <c r="AD110" s="576"/>
      <c r="AE110" s="576"/>
      <c r="AF110" s="576"/>
      <c r="AG110" s="576"/>
      <c r="AH110" s="576"/>
      <c r="AI110" s="576"/>
      <c r="AJ110" s="576"/>
      <c r="AK110" s="576"/>
      <c r="AL110" s="576"/>
      <c r="AM110" s="576"/>
      <c r="AN110" s="576"/>
      <c r="AO110" s="576"/>
      <c r="AP110" s="576"/>
      <c r="AQ110" s="576"/>
      <c r="AR110" s="576"/>
      <c r="AS110" s="576"/>
      <c r="AT110" s="576"/>
      <c r="AU110" s="576"/>
      <c r="AV110" s="576"/>
      <c r="AW110" s="576"/>
      <c r="AX110" s="576"/>
      <c r="AY110" s="576"/>
      <c r="AZ110" s="576"/>
      <c r="BA110" s="576"/>
      <c r="BB110" s="576"/>
      <c r="BC110" s="576"/>
      <c r="BD110" s="576"/>
      <c r="BE110" s="576"/>
      <c r="BF110" s="576"/>
      <c r="BG110" s="576"/>
      <c r="BH110" s="576"/>
      <c r="BI110" s="576"/>
      <c r="BJ110" s="576"/>
      <c r="BK110" s="576"/>
      <c r="BL110" s="576"/>
      <c r="BM110" s="576"/>
    </row>
    <row r="111" s="578" customFormat="1" ht="12" outlineLevel="3" spans="1:65">
      <c r="A111" s="591"/>
      <c r="B111" s="598" t="s">
        <v>926</v>
      </c>
      <c r="C111" s="599" t="s">
        <v>622</v>
      </c>
      <c r="D111" s="523" t="s">
        <v>927</v>
      </c>
      <c r="E111" s="523"/>
      <c r="F111" s="713"/>
      <c r="G111" s="713"/>
      <c r="H111" s="713"/>
      <c r="I111" s="713"/>
      <c r="J111" s="713"/>
      <c r="K111" s="713"/>
      <c r="L111" s="713"/>
      <c r="M111" s="713"/>
      <c r="N111" s="713"/>
      <c r="O111" s="713"/>
      <c r="P111" s="728"/>
      <c r="Q111" s="741"/>
      <c r="R111" s="742"/>
      <c r="S111" s="713"/>
      <c r="T111" s="713"/>
      <c r="U111" s="713"/>
      <c r="V111" s="713"/>
      <c r="W111" s="741"/>
      <c r="X111" s="713"/>
      <c r="Y111" s="713"/>
      <c r="Z111" s="752"/>
      <c r="AA111" s="753"/>
      <c r="AB111" s="754"/>
      <c r="AC111" s="754"/>
      <c r="AD111" s="754"/>
      <c r="AE111" s="754"/>
      <c r="AF111" s="754"/>
      <c r="AG111" s="754"/>
      <c r="AH111" s="754"/>
      <c r="AI111" s="754"/>
      <c r="AJ111" s="754"/>
      <c r="AK111" s="754"/>
      <c r="AL111" s="754"/>
      <c r="AM111" s="754"/>
      <c r="AN111" s="754"/>
      <c r="AO111" s="754"/>
      <c r="AP111" s="754"/>
      <c r="AQ111" s="754"/>
      <c r="AR111" s="754"/>
      <c r="AS111" s="754"/>
      <c r="AT111" s="754"/>
      <c r="AU111" s="754"/>
      <c r="AV111" s="754"/>
      <c r="AW111" s="754"/>
      <c r="AX111" s="754"/>
      <c r="AY111" s="754"/>
      <c r="AZ111" s="754"/>
      <c r="BA111" s="754"/>
      <c r="BB111" s="754"/>
      <c r="BC111" s="754"/>
      <c r="BD111" s="754"/>
      <c r="BE111" s="754"/>
      <c r="BF111" s="754"/>
      <c r="BG111" s="754"/>
      <c r="BH111" s="754"/>
      <c r="BI111" s="754"/>
      <c r="BJ111" s="754"/>
      <c r="BK111" s="754"/>
      <c r="BL111" s="754"/>
      <c r="BM111" s="754"/>
    </row>
    <row r="112" s="578" customFormat="1" ht="12" outlineLevel="3" spans="1:65">
      <c r="A112" s="591"/>
      <c r="B112" s="598" t="s">
        <v>929</v>
      </c>
      <c r="C112" s="599" t="s">
        <v>622</v>
      </c>
      <c r="D112" s="523" t="s">
        <v>930</v>
      </c>
      <c r="E112" s="523"/>
      <c r="F112" s="713"/>
      <c r="G112" s="713"/>
      <c r="H112" s="713"/>
      <c r="I112" s="713"/>
      <c r="J112" s="713"/>
      <c r="K112" s="713"/>
      <c r="L112" s="713"/>
      <c r="M112" s="713"/>
      <c r="N112" s="713"/>
      <c r="O112" s="713"/>
      <c r="P112" s="728"/>
      <c r="Q112" s="741"/>
      <c r="R112" s="742"/>
      <c r="S112" s="713"/>
      <c r="T112" s="713"/>
      <c r="U112" s="713"/>
      <c r="V112" s="713"/>
      <c r="W112" s="741"/>
      <c r="X112" s="713"/>
      <c r="Y112" s="713"/>
      <c r="Z112" s="752"/>
      <c r="AA112" s="753"/>
      <c r="AB112" s="754"/>
      <c r="AC112" s="754"/>
      <c r="AD112" s="754"/>
      <c r="AE112" s="754"/>
      <c r="AF112" s="754"/>
      <c r="AG112" s="754"/>
      <c r="AH112" s="754"/>
      <c r="AI112" s="754"/>
      <c r="AJ112" s="754"/>
      <c r="AK112" s="754"/>
      <c r="AL112" s="754"/>
      <c r="AM112" s="754"/>
      <c r="AN112" s="754"/>
      <c r="AO112" s="754"/>
      <c r="AP112" s="754"/>
      <c r="AQ112" s="754"/>
      <c r="AR112" s="754"/>
      <c r="AS112" s="754"/>
      <c r="AT112" s="754"/>
      <c r="AU112" s="754"/>
      <c r="AV112" s="754"/>
      <c r="AW112" s="754"/>
      <c r="AX112" s="754"/>
      <c r="AY112" s="754"/>
      <c r="AZ112" s="754"/>
      <c r="BA112" s="754"/>
      <c r="BB112" s="754"/>
      <c r="BC112" s="754"/>
      <c r="BD112" s="754"/>
      <c r="BE112" s="754"/>
      <c r="BF112" s="754"/>
      <c r="BG112" s="754"/>
      <c r="BH112" s="754"/>
      <c r="BI112" s="754"/>
      <c r="BJ112" s="754"/>
      <c r="BK112" s="754"/>
      <c r="BL112" s="754"/>
      <c r="BM112" s="754"/>
    </row>
    <row r="113" s="578" customFormat="1" ht="12" outlineLevel="3" spans="1:65">
      <c r="A113" s="591"/>
      <c r="B113" s="598" t="s">
        <v>932</v>
      </c>
      <c r="C113" s="599" t="s">
        <v>622</v>
      </c>
      <c r="D113" s="523" t="s">
        <v>933</v>
      </c>
      <c r="E113" s="523"/>
      <c r="F113" s="713"/>
      <c r="G113" s="713"/>
      <c r="H113" s="713"/>
      <c r="I113" s="713"/>
      <c r="J113" s="713"/>
      <c r="K113" s="713"/>
      <c r="L113" s="713"/>
      <c r="M113" s="713"/>
      <c r="N113" s="713"/>
      <c r="O113" s="713"/>
      <c r="P113" s="728"/>
      <c r="Q113" s="741"/>
      <c r="R113" s="742"/>
      <c r="S113" s="713"/>
      <c r="T113" s="713"/>
      <c r="U113" s="713"/>
      <c r="V113" s="713"/>
      <c r="W113" s="741"/>
      <c r="X113" s="713"/>
      <c r="Y113" s="713"/>
      <c r="Z113" s="752"/>
      <c r="AA113" s="753"/>
      <c r="AB113" s="754"/>
      <c r="AC113" s="754"/>
      <c r="AD113" s="754"/>
      <c r="AE113" s="754"/>
      <c r="AF113" s="754"/>
      <c r="AG113" s="754"/>
      <c r="AH113" s="754"/>
      <c r="AI113" s="754"/>
      <c r="AJ113" s="754"/>
      <c r="AK113" s="754"/>
      <c r="AL113" s="754"/>
      <c r="AM113" s="754"/>
      <c r="AN113" s="754"/>
      <c r="AO113" s="754"/>
      <c r="AP113" s="754"/>
      <c r="AQ113" s="754"/>
      <c r="AR113" s="754"/>
      <c r="AS113" s="754"/>
      <c r="AT113" s="754"/>
      <c r="AU113" s="754"/>
      <c r="AV113" s="754"/>
      <c r="AW113" s="754"/>
      <c r="AX113" s="754"/>
      <c r="AY113" s="754"/>
      <c r="AZ113" s="754"/>
      <c r="BA113" s="754"/>
      <c r="BB113" s="754"/>
      <c r="BC113" s="754"/>
      <c r="BD113" s="754"/>
      <c r="BE113" s="754"/>
      <c r="BF113" s="754"/>
      <c r="BG113" s="754"/>
      <c r="BH113" s="754"/>
      <c r="BI113" s="754"/>
      <c r="BJ113" s="754"/>
      <c r="BK113" s="754"/>
      <c r="BL113" s="754"/>
      <c r="BM113" s="754"/>
    </row>
    <row r="114" s="578" customFormat="1" ht="12" outlineLevel="3" spans="1:65">
      <c r="A114" s="591"/>
      <c r="B114" s="598" t="s">
        <v>935</v>
      </c>
      <c r="C114" s="599" t="s">
        <v>622</v>
      </c>
      <c r="D114" s="523" t="s">
        <v>936</v>
      </c>
      <c r="E114" s="523"/>
      <c r="F114" s="713"/>
      <c r="G114" s="713"/>
      <c r="H114" s="713"/>
      <c r="I114" s="713"/>
      <c r="J114" s="713"/>
      <c r="K114" s="713"/>
      <c r="L114" s="713"/>
      <c r="M114" s="713"/>
      <c r="N114" s="713"/>
      <c r="O114" s="713"/>
      <c r="P114" s="728"/>
      <c r="Q114" s="741"/>
      <c r="R114" s="742"/>
      <c r="S114" s="713"/>
      <c r="T114" s="713"/>
      <c r="U114" s="713"/>
      <c r="V114" s="713"/>
      <c r="W114" s="741"/>
      <c r="X114" s="713"/>
      <c r="Y114" s="713"/>
      <c r="Z114" s="752"/>
      <c r="AA114" s="753"/>
      <c r="AB114" s="754"/>
      <c r="AC114" s="754"/>
      <c r="AD114" s="754"/>
      <c r="AE114" s="754"/>
      <c r="AF114" s="754"/>
      <c r="AG114" s="754"/>
      <c r="AH114" s="754"/>
      <c r="AI114" s="754"/>
      <c r="AJ114" s="754"/>
      <c r="AK114" s="754"/>
      <c r="AL114" s="754"/>
      <c r="AM114" s="754"/>
      <c r="AN114" s="754"/>
      <c r="AO114" s="754"/>
      <c r="AP114" s="754"/>
      <c r="AQ114" s="754"/>
      <c r="AR114" s="754"/>
      <c r="AS114" s="754"/>
      <c r="AT114" s="754"/>
      <c r="AU114" s="754"/>
      <c r="AV114" s="754"/>
      <c r="AW114" s="754"/>
      <c r="AX114" s="754"/>
      <c r="AY114" s="754"/>
      <c r="AZ114" s="754"/>
      <c r="BA114" s="754"/>
      <c r="BB114" s="754"/>
      <c r="BC114" s="754"/>
      <c r="BD114" s="754"/>
      <c r="BE114" s="754"/>
      <c r="BF114" s="754"/>
      <c r="BG114" s="754"/>
      <c r="BH114" s="754"/>
      <c r="BI114" s="754"/>
      <c r="BJ114" s="754"/>
      <c r="BK114" s="754"/>
      <c r="BL114" s="754"/>
      <c r="BM114" s="754"/>
    </row>
    <row r="115" s="578" customFormat="1" ht="12" outlineLevel="3" spans="1:65">
      <c r="A115" s="591"/>
      <c r="B115" s="598" t="s">
        <v>937</v>
      </c>
      <c r="C115" s="599" t="s">
        <v>622</v>
      </c>
      <c r="D115" s="523" t="s">
        <v>938</v>
      </c>
      <c r="E115" s="523"/>
      <c r="F115" s="713"/>
      <c r="G115" s="713"/>
      <c r="H115" s="713"/>
      <c r="I115" s="713"/>
      <c r="J115" s="713"/>
      <c r="K115" s="713"/>
      <c r="L115" s="713"/>
      <c r="M115" s="713"/>
      <c r="N115" s="713"/>
      <c r="O115" s="713"/>
      <c r="P115" s="728"/>
      <c r="Q115" s="741"/>
      <c r="R115" s="742"/>
      <c r="S115" s="713"/>
      <c r="T115" s="713"/>
      <c r="U115" s="713"/>
      <c r="V115" s="713"/>
      <c r="W115" s="741"/>
      <c r="X115" s="713"/>
      <c r="Y115" s="713"/>
      <c r="Z115" s="752"/>
      <c r="AA115" s="753"/>
      <c r="AB115" s="754"/>
      <c r="AC115" s="754"/>
      <c r="AD115" s="754"/>
      <c r="AE115" s="754"/>
      <c r="AF115" s="754"/>
      <c r="AG115" s="754"/>
      <c r="AH115" s="754"/>
      <c r="AI115" s="754"/>
      <c r="AJ115" s="754"/>
      <c r="AK115" s="754"/>
      <c r="AL115" s="754"/>
      <c r="AM115" s="754"/>
      <c r="AN115" s="754"/>
      <c r="AO115" s="754"/>
      <c r="AP115" s="754"/>
      <c r="AQ115" s="754"/>
      <c r="AR115" s="754"/>
      <c r="AS115" s="754"/>
      <c r="AT115" s="754"/>
      <c r="AU115" s="754"/>
      <c r="AV115" s="754"/>
      <c r="AW115" s="754"/>
      <c r="AX115" s="754"/>
      <c r="AY115" s="754"/>
      <c r="AZ115" s="754"/>
      <c r="BA115" s="754"/>
      <c r="BB115" s="754"/>
      <c r="BC115" s="754"/>
      <c r="BD115" s="754"/>
      <c r="BE115" s="754"/>
      <c r="BF115" s="754"/>
      <c r="BG115" s="754"/>
      <c r="BH115" s="754"/>
      <c r="BI115" s="754"/>
      <c r="BJ115" s="754"/>
      <c r="BK115" s="754"/>
      <c r="BL115" s="754"/>
      <c r="BM115" s="754"/>
    </row>
    <row r="116" s="578" customFormat="1" ht="12" outlineLevel="3" spans="1:65">
      <c r="A116" s="591"/>
      <c r="B116" s="598" t="s">
        <v>939</v>
      </c>
      <c r="C116" s="599" t="s">
        <v>622</v>
      </c>
      <c r="D116" s="523" t="s">
        <v>940</v>
      </c>
      <c r="E116" s="523"/>
      <c r="F116" s="713"/>
      <c r="G116" s="713"/>
      <c r="H116" s="713"/>
      <c r="I116" s="713"/>
      <c r="J116" s="713"/>
      <c r="K116" s="713"/>
      <c r="L116" s="713"/>
      <c r="M116" s="713"/>
      <c r="N116" s="713"/>
      <c r="O116" s="713"/>
      <c r="P116" s="728"/>
      <c r="Q116" s="741"/>
      <c r="R116" s="742"/>
      <c r="S116" s="713"/>
      <c r="T116" s="713"/>
      <c r="U116" s="713"/>
      <c r="V116" s="713"/>
      <c r="W116" s="741"/>
      <c r="X116" s="713"/>
      <c r="Y116" s="713"/>
      <c r="Z116" s="752"/>
      <c r="AA116" s="753"/>
      <c r="AB116" s="754"/>
      <c r="AC116" s="754"/>
      <c r="AD116" s="754"/>
      <c r="AE116" s="754"/>
      <c r="AF116" s="754"/>
      <c r="AG116" s="754"/>
      <c r="AH116" s="754"/>
      <c r="AI116" s="754"/>
      <c r="AJ116" s="754"/>
      <c r="AK116" s="754"/>
      <c r="AL116" s="754"/>
      <c r="AM116" s="754"/>
      <c r="AN116" s="754"/>
      <c r="AO116" s="754"/>
      <c r="AP116" s="754"/>
      <c r="AQ116" s="754"/>
      <c r="AR116" s="754"/>
      <c r="AS116" s="754"/>
      <c r="AT116" s="754"/>
      <c r="AU116" s="754"/>
      <c r="AV116" s="754"/>
      <c r="AW116" s="754"/>
      <c r="AX116" s="754"/>
      <c r="AY116" s="754"/>
      <c r="AZ116" s="754"/>
      <c r="BA116" s="754"/>
      <c r="BB116" s="754"/>
      <c r="BC116" s="754"/>
      <c r="BD116" s="754"/>
      <c r="BE116" s="754"/>
      <c r="BF116" s="754"/>
      <c r="BG116" s="754"/>
      <c r="BH116" s="754"/>
      <c r="BI116" s="754"/>
      <c r="BJ116" s="754"/>
      <c r="BK116" s="754"/>
      <c r="BL116" s="754"/>
      <c r="BM116" s="754"/>
    </row>
    <row r="117" s="578" customFormat="1" ht="12" outlineLevel="3" spans="1:65">
      <c r="A117" s="591"/>
      <c r="B117" s="598" t="s">
        <v>941</v>
      </c>
      <c r="C117" s="599" t="s">
        <v>622</v>
      </c>
      <c r="D117" s="523" t="s">
        <v>942</v>
      </c>
      <c r="E117" s="523"/>
      <c r="F117" s="713"/>
      <c r="G117" s="713"/>
      <c r="H117" s="713"/>
      <c r="I117" s="713"/>
      <c r="J117" s="713"/>
      <c r="K117" s="713"/>
      <c r="L117" s="713"/>
      <c r="M117" s="713"/>
      <c r="N117" s="713"/>
      <c r="O117" s="713"/>
      <c r="P117" s="728"/>
      <c r="Q117" s="741"/>
      <c r="R117" s="742"/>
      <c r="S117" s="713"/>
      <c r="T117" s="713"/>
      <c r="U117" s="713"/>
      <c r="V117" s="713"/>
      <c r="W117" s="741"/>
      <c r="X117" s="713"/>
      <c r="Y117" s="713"/>
      <c r="Z117" s="752"/>
      <c r="AA117" s="753"/>
      <c r="AB117" s="754"/>
      <c r="AC117" s="754"/>
      <c r="AD117" s="754"/>
      <c r="AE117" s="754"/>
      <c r="AF117" s="754"/>
      <c r="AG117" s="754"/>
      <c r="AH117" s="754"/>
      <c r="AI117" s="754"/>
      <c r="AJ117" s="754"/>
      <c r="AK117" s="754"/>
      <c r="AL117" s="754"/>
      <c r="AM117" s="754"/>
      <c r="AN117" s="754"/>
      <c r="AO117" s="754"/>
      <c r="AP117" s="754"/>
      <c r="AQ117" s="754"/>
      <c r="AR117" s="754"/>
      <c r="AS117" s="754"/>
      <c r="AT117" s="754"/>
      <c r="AU117" s="754"/>
      <c r="AV117" s="754"/>
      <c r="AW117" s="754"/>
      <c r="AX117" s="754"/>
      <c r="AY117" s="754"/>
      <c r="AZ117" s="754"/>
      <c r="BA117" s="754"/>
      <c r="BB117" s="754"/>
      <c r="BC117" s="754"/>
      <c r="BD117" s="754"/>
      <c r="BE117" s="754"/>
      <c r="BF117" s="754"/>
      <c r="BG117" s="754"/>
      <c r="BH117" s="754"/>
      <c r="BI117" s="754"/>
      <c r="BJ117" s="754"/>
      <c r="BK117" s="754"/>
      <c r="BL117" s="754"/>
      <c r="BM117" s="754"/>
    </row>
    <row r="118" s="578" customFormat="1" ht="12" outlineLevel="3" spans="1:65">
      <c r="A118" s="591"/>
      <c r="B118" s="598" t="s">
        <v>944</v>
      </c>
      <c r="C118" s="599" t="s">
        <v>622</v>
      </c>
      <c r="D118" s="523" t="s">
        <v>945</v>
      </c>
      <c r="E118" s="523"/>
      <c r="F118" s="713"/>
      <c r="G118" s="713"/>
      <c r="H118" s="713"/>
      <c r="I118" s="713"/>
      <c r="J118" s="713"/>
      <c r="K118" s="713"/>
      <c r="L118" s="713"/>
      <c r="M118" s="713"/>
      <c r="N118" s="713"/>
      <c r="O118" s="713"/>
      <c r="P118" s="728"/>
      <c r="Q118" s="741"/>
      <c r="R118" s="742"/>
      <c r="S118" s="713"/>
      <c r="T118" s="713"/>
      <c r="U118" s="713"/>
      <c r="V118" s="713"/>
      <c r="W118" s="741"/>
      <c r="X118" s="713"/>
      <c r="Y118" s="713"/>
      <c r="Z118" s="752"/>
      <c r="AA118" s="753"/>
      <c r="AB118" s="754"/>
      <c r="AC118" s="754"/>
      <c r="AD118" s="754"/>
      <c r="AE118" s="754"/>
      <c r="AF118" s="754"/>
      <c r="AG118" s="754"/>
      <c r="AH118" s="754"/>
      <c r="AI118" s="754"/>
      <c r="AJ118" s="754"/>
      <c r="AK118" s="754"/>
      <c r="AL118" s="754"/>
      <c r="AM118" s="754"/>
      <c r="AN118" s="754"/>
      <c r="AO118" s="754"/>
      <c r="AP118" s="754"/>
      <c r="AQ118" s="754"/>
      <c r="AR118" s="754"/>
      <c r="AS118" s="754"/>
      <c r="AT118" s="754"/>
      <c r="AU118" s="754"/>
      <c r="AV118" s="754"/>
      <c r="AW118" s="754"/>
      <c r="AX118" s="754"/>
      <c r="AY118" s="754"/>
      <c r="AZ118" s="754"/>
      <c r="BA118" s="754"/>
      <c r="BB118" s="754"/>
      <c r="BC118" s="754"/>
      <c r="BD118" s="754"/>
      <c r="BE118" s="754"/>
      <c r="BF118" s="754"/>
      <c r="BG118" s="754"/>
      <c r="BH118" s="754"/>
      <c r="BI118" s="754"/>
      <c r="BJ118" s="754"/>
      <c r="BK118" s="754"/>
      <c r="BL118" s="754"/>
      <c r="BM118" s="754"/>
    </row>
    <row r="119" s="577" customFormat="1" ht="14.1" customHeight="1" outlineLevel="2" collapsed="1" spans="1:65">
      <c r="A119" s="591"/>
      <c r="B119" s="715" t="s">
        <v>1489</v>
      </c>
      <c r="C119" s="716"/>
      <c r="D119" s="712" t="s">
        <v>1489</v>
      </c>
      <c r="E119" s="712"/>
      <c r="F119" s="599" t="s">
        <v>1489</v>
      </c>
      <c r="G119" s="599" t="s">
        <v>1489</v>
      </c>
      <c r="H119" s="599" t="s">
        <v>1489</v>
      </c>
      <c r="I119" s="599" t="s">
        <v>1489</v>
      </c>
      <c r="J119" s="599" t="s">
        <v>1489</v>
      </c>
      <c r="K119" s="599" t="s">
        <v>1489</v>
      </c>
      <c r="L119" s="599" t="s">
        <v>1489</v>
      </c>
      <c r="M119" s="599" t="s">
        <v>1489</v>
      </c>
      <c r="N119" s="599" t="s">
        <v>1489</v>
      </c>
      <c r="O119" s="599"/>
      <c r="P119" s="730" t="s">
        <v>1489</v>
      </c>
      <c r="Q119" s="745" t="s">
        <v>1489</v>
      </c>
      <c r="R119" s="746"/>
      <c r="S119" s="599" t="s">
        <v>1489</v>
      </c>
      <c r="T119" s="599"/>
      <c r="U119" s="599" t="s">
        <v>1489</v>
      </c>
      <c r="V119" s="599" t="s">
        <v>1489</v>
      </c>
      <c r="W119" s="745" t="s">
        <v>1489</v>
      </c>
      <c r="X119" s="599" t="s">
        <v>1489</v>
      </c>
      <c r="Y119" s="599" t="s">
        <v>1489</v>
      </c>
      <c r="Z119" s="755"/>
      <c r="AA119" s="756" t="s">
        <v>1489</v>
      </c>
      <c r="AB119" s="576"/>
      <c r="AC119" s="576"/>
      <c r="AD119" s="576"/>
      <c r="AE119" s="576"/>
      <c r="AF119" s="576"/>
      <c r="AG119" s="576"/>
      <c r="AH119" s="576"/>
      <c r="AI119" s="576"/>
      <c r="AJ119" s="576"/>
      <c r="AK119" s="576"/>
      <c r="AL119" s="576"/>
      <c r="AM119" s="576"/>
      <c r="AN119" s="576"/>
      <c r="AO119" s="576"/>
      <c r="AP119" s="576"/>
      <c r="AQ119" s="576"/>
      <c r="AR119" s="576"/>
      <c r="AS119" s="576"/>
      <c r="AT119" s="576"/>
      <c r="AU119" s="576"/>
      <c r="AV119" s="576"/>
      <c r="AW119" s="576"/>
      <c r="AX119" s="576"/>
      <c r="AY119" s="576"/>
      <c r="AZ119" s="576"/>
      <c r="BA119" s="576"/>
      <c r="BB119" s="576"/>
      <c r="BC119" s="576"/>
      <c r="BD119" s="576"/>
      <c r="BE119" s="576"/>
      <c r="BF119" s="576"/>
      <c r="BG119" s="576"/>
      <c r="BH119" s="576"/>
      <c r="BI119" s="576"/>
      <c r="BJ119" s="576"/>
      <c r="BK119" s="576"/>
      <c r="BL119" s="576"/>
      <c r="BM119" s="576"/>
    </row>
    <row r="120" s="576" customFormat="1" ht="16.35" customHeight="1" spans="1:27">
      <c r="A120" s="591"/>
      <c r="B120" s="592" t="s">
        <v>948</v>
      </c>
      <c r="C120" s="593" t="s">
        <v>557</v>
      </c>
      <c r="D120" s="468" t="s">
        <v>1514</v>
      </c>
      <c r="E120" s="468"/>
      <c r="F120" s="594"/>
      <c r="G120" s="594"/>
      <c r="H120" s="594"/>
      <c r="I120" s="594"/>
      <c r="J120" s="594"/>
      <c r="K120" s="594"/>
      <c r="L120" s="594"/>
      <c r="M120" s="594"/>
      <c r="N120" s="629"/>
      <c r="O120" s="630"/>
      <c r="P120" s="631"/>
      <c r="Q120" s="676"/>
      <c r="R120" s="737"/>
      <c r="S120" s="677"/>
      <c r="T120" s="677"/>
      <c r="U120" s="677"/>
      <c r="V120" s="677"/>
      <c r="W120" s="676"/>
      <c r="X120" s="677"/>
      <c r="Y120" s="677"/>
      <c r="Z120" s="750"/>
      <c r="AA120" s="693"/>
    </row>
    <row r="121" s="576" customFormat="1" ht="16.5" customHeight="1" outlineLevel="1" spans="1:27">
      <c r="A121" s="591"/>
      <c r="B121" s="608" t="s">
        <v>558</v>
      </c>
      <c r="C121" s="596">
        <v>1</v>
      </c>
      <c r="D121" s="609" t="s">
        <v>559</v>
      </c>
      <c r="E121" s="609"/>
      <c r="F121" s="185"/>
      <c r="G121" s="185"/>
      <c r="H121" s="185"/>
      <c r="I121" s="185"/>
      <c r="J121" s="185"/>
      <c r="K121" s="185"/>
      <c r="L121" s="185"/>
      <c r="M121" s="185"/>
      <c r="N121" s="632"/>
      <c r="O121" s="632"/>
      <c r="P121" s="633"/>
      <c r="Q121" s="738"/>
      <c r="R121" s="739"/>
      <c r="S121" s="740"/>
      <c r="T121" s="740"/>
      <c r="U121" s="740"/>
      <c r="V121" s="740"/>
      <c r="W121" s="738"/>
      <c r="X121" s="740"/>
      <c r="Y121" s="740"/>
      <c r="Z121" s="751"/>
      <c r="AA121" s="694"/>
    </row>
    <row r="122" s="577" customFormat="1" ht="14.1" customHeight="1" outlineLevel="2" spans="1:65">
      <c r="A122" s="591"/>
      <c r="B122" s="598" t="s">
        <v>949</v>
      </c>
      <c r="C122" s="599" t="s">
        <v>619</v>
      </c>
      <c r="D122" s="712" t="s">
        <v>950</v>
      </c>
      <c r="E122" s="712"/>
      <c r="F122" s="601"/>
      <c r="G122" s="601"/>
      <c r="H122" s="601"/>
      <c r="I122" s="601"/>
      <c r="J122" s="601"/>
      <c r="K122" s="601"/>
      <c r="L122" s="601"/>
      <c r="M122" s="601"/>
      <c r="N122" s="646"/>
      <c r="O122" s="635"/>
      <c r="P122" s="636"/>
      <c r="Q122" s="667"/>
      <c r="R122" s="668"/>
      <c r="S122" s="669"/>
      <c r="T122" s="669"/>
      <c r="U122" s="669"/>
      <c r="V122" s="669"/>
      <c r="W122" s="667"/>
      <c r="X122" s="669"/>
      <c r="Y122" s="669"/>
      <c r="Z122" s="671"/>
      <c r="AA122" s="695"/>
      <c r="AB122" s="576"/>
      <c r="AC122" s="576"/>
      <c r="AD122" s="576"/>
      <c r="AE122" s="576"/>
      <c r="AF122" s="576"/>
      <c r="AG122" s="576"/>
      <c r="AH122" s="576"/>
      <c r="AI122" s="576"/>
      <c r="AJ122" s="576"/>
      <c r="AK122" s="576"/>
      <c r="AL122" s="576"/>
      <c r="AM122" s="576"/>
      <c r="AN122" s="576"/>
      <c r="AO122" s="576"/>
      <c r="AP122" s="576"/>
      <c r="AQ122" s="576"/>
      <c r="AR122" s="576"/>
      <c r="AS122" s="576"/>
      <c r="AT122" s="576"/>
      <c r="AU122" s="576"/>
      <c r="AV122" s="576"/>
      <c r="AW122" s="576"/>
      <c r="AX122" s="576"/>
      <c r="AY122" s="576"/>
      <c r="AZ122" s="576"/>
      <c r="BA122" s="576"/>
      <c r="BB122" s="576"/>
      <c r="BC122" s="576"/>
      <c r="BD122" s="576"/>
      <c r="BE122" s="576"/>
      <c r="BF122" s="576"/>
      <c r="BG122" s="576"/>
      <c r="BH122" s="576"/>
      <c r="BI122" s="576"/>
      <c r="BJ122" s="576"/>
      <c r="BK122" s="576"/>
      <c r="BL122" s="576"/>
      <c r="BM122" s="576"/>
    </row>
    <row r="123" s="577" customFormat="1" ht="14.1" customHeight="1" outlineLevel="3" spans="1:65">
      <c r="A123" s="591"/>
      <c r="B123" s="598" t="s">
        <v>951</v>
      </c>
      <c r="C123" s="599" t="s">
        <v>622</v>
      </c>
      <c r="D123" s="712" t="s">
        <v>952</v>
      </c>
      <c r="E123" s="712"/>
      <c r="F123" s="601"/>
      <c r="G123" s="601"/>
      <c r="H123" s="601"/>
      <c r="I123" s="601"/>
      <c r="J123" s="601"/>
      <c r="K123" s="601"/>
      <c r="L123" s="601"/>
      <c r="M123" s="601"/>
      <c r="N123" s="646"/>
      <c r="O123" s="635"/>
      <c r="P123" s="636"/>
      <c r="Q123" s="667"/>
      <c r="R123" s="668"/>
      <c r="S123" s="669"/>
      <c r="T123" s="669"/>
      <c r="U123" s="669"/>
      <c r="V123" s="669"/>
      <c r="W123" s="667"/>
      <c r="X123" s="669"/>
      <c r="Y123" s="669"/>
      <c r="Z123" s="671"/>
      <c r="AA123" s="695"/>
      <c r="AB123" s="576"/>
      <c r="AC123" s="576"/>
      <c r="AD123" s="576"/>
      <c r="AE123" s="576"/>
      <c r="AF123" s="576"/>
      <c r="AG123" s="576"/>
      <c r="AH123" s="576"/>
      <c r="AI123" s="576"/>
      <c r="AJ123" s="576"/>
      <c r="AK123" s="576"/>
      <c r="AL123" s="576"/>
      <c r="AM123" s="576"/>
      <c r="AN123" s="576"/>
      <c r="AO123" s="576"/>
      <c r="AP123" s="576"/>
      <c r="AQ123" s="576"/>
      <c r="AR123" s="576"/>
      <c r="AS123" s="576"/>
      <c r="AT123" s="576"/>
      <c r="AU123" s="576"/>
      <c r="AV123" s="576"/>
      <c r="AW123" s="576"/>
      <c r="AX123" s="576"/>
      <c r="AY123" s="576"/>
      <c r="AZ123" s="576"/>
      <c r="BA123" s="576"/>
      <c r="BB123" s="576"/>
      <c r="BC123" s="576"/>
      <c r="BD123" s="576"/>
      <c r="BE123" s="576"/>
      <c r="BF123" s="576"/>
      <c r="BG123" s="576"/>
      <c r="BH123" s="576"/>
      <c r="BI123" s="576"/>
      <c r="BJ123" s="576"/>
      <c r="BK123" s="576"/>
      <c r="BL123" s="576"/>
      <c r="BM123" s="576"/>
    </row>
    <row r="124" s="577" customFormat="1" ht="14.1" customHeight="1" outlineLevel="3" spans="1:65">
      <c r="A124" s="591"/>
      <c r="B124" s="598" t="s">
        <v>954</v>
      </c>
      <c r="C124" s="599" t="s">
        <v>622</v>
      </c>
      <c r="D124" s="712" t="s">
        <v>955</v>
      </c>
      <c r="E124" s="712"/>
      <c r="F124" s="601"/>
      <c r="G124" s="601"/>
      <c r="H124" s="601"/>
      <c r="I124" s="601"/>
      <c r="J124" s="601"/>
      <c r="K124" s="601"/>
      <c r="L124" s="601"/>
      <c r="M124" s="601"/>
      <c r="N124" s="646"/>
      <c r="O124" s="635"/>
      <c r="P124" s="636"/>
      <c r="Q124" s="667"/>
      <c r="R124" s="668"/>
      <c r="S124" s="669"/>
      <c r="T124" s="669"/>
      <c r="U124" s="669"/>
      <c r="V124" s="669"/>
      <c r="W124" s="667"/>
      <c r="X124" s="669"/>
      <c r="Y124" s="669"/>
      <c r="Z124" s="671"/>
      <c r="AA124" s="695"/>
      <c r="AB124" s="576"/>
      <c r="AC124" s="576"/>
      <c r="AD124" s="576"/>
      <c r="AE124" s="576"/>
      <c r="AF124" s="576"/>
      <c r="AG124" s="576"/>
      <c r="AH124" s="576"/>
      <c r="AI124" s="576"/>
      <c r="AJ124" s="576"/>
      <c r="AK124" s="576"/>
      <c r="AL124" s="576"/>
      <c r="AM124" s="576"/>
      <c r="AN124" s="576"/>
      <c r="AO124" s="576"/>
      <c r="AP124" s="576"/>
      <c r="AQ124" s="576"/>
      <c r="AR124" s="576"/>
      <c r="AS124" s="576"/>
      <c r="AT124" s="576"/>
      <c r="AU124" s="576"/>
      <c r="AV124" s="576"/>
      <c r="AW124" s="576"/>
      <c r="AX124" s="576"/>
      <c r="AY124" s="576"/>
      <c r="AZ124" s="576"/>
      <c r="BA124" s="576"/>
      <c r="BB124" s="576"/>
      <c r="BC124" s="576"/>
      <c r="BD124" s="576"/>
      <c r="BE124" s="576"/>
      <c r="BF124" s="576"/>
      <c r="BG124" s="576"/>
      <c r="BH124" s="576"/>
      <c r="BI124" s="576"/>
      <c r="BJ124" s="576"/>
      <c r="BK124" s="576"/>
      <c r="BL124" s="576"/>
      <c r="BM124" s="576"/>
    </row>
    <row r="125" s="577" customFormat="1" ht="14.1" customHeight="1" outlineLevel="3" spans="1:65">
      <c r="A125" s="591"/>
      <c r="B125" s="598" t="s">
        <v>957</v>
      </c>
      <c r="C125" s="599" t="s">
        <v>622</v>
      </c>
      <c r="D125" s="712" t="s">
        <v>958</v>
      </c>
      <c r="E125" s="712"/>
      <c r="F125" s="601"/>
      <c r="G125" s="601"/>
      <c r="H125" s="601"/>
      <c r="I125" s="601"/>
      <c r="J125" s="601"/>
      <c r="K125" s="601"/>
      <c r="L125" s="601"/>
      <c r="M125" s="601"/>
      <c r="N125" s="646"/>
      <c r="O125" s="635"/>
      <c r="P125" s="636"/>
      <c r="Q125" s="667"/>
      <c r="R125" s="668"/>
      <c r="S125" s="669"/>
      <c r="T125" s="669"/>
      <c r="U125" s="669"/>
      <c r="V125" s="669"/>
      <c r="W125" s="667"/>
      <c r="X125" s="669"/>
      <c r="Y125" s="669"/>
      <c r="Z125" s="671"/>
      <c r="AA125" s="695"/>
      <c r="AB125" s="576"/>
      <c r="AC125" s="576"/>
      <c r="AD125" s="576"/>
      <c r="AE125" s="576"/>
      <c r="AF125" s="576"/>
      <c r="AG125" s="576"/>
      <c r="AH125" s="576"/>
      <c r="AI125" s="576"/>
      <c r="AJ125" s="576"/>
      <c r="AK125" s="576"/>
      <c r="AL125" s="576"/>
      <c r="AM125" s="576"/>
      <c r="AN125" s="576"/>
      <c r="AO125" s="576"/>
      <c r="AP125" s="576"/>
      <c r="AQ125" s="576"/>
      <c r="AR125" s="576"/>
      <c r="AS125" s="576"/>
      <c r="AT125" s="576"/>
      <c r="AU125" s="576"/>
      <c r="AV125" s="576"/>
      <c r="AW125" s="576"/>
      <c r="AX125" s="576"/>
      <c r="AY125" s="576"/>
      <c r="AZ125" s="576"/>
      <c r="BA125" s="576"/>
      <c r="BB125" s="576"/>
      <c r="BC125" s="576"/>
      <c r="BD125" s="576"/>
      <c r="BE125" s="576"/>
      <c r="BF125" s="576"/>
      <c r="BG125" s="576"/>
      <c r="BH125" s="576"/>
      <c r="BI125" s="576"/>
      <c r="BJ125" s="576"/>
      <c r="BK125" s="576"/>
      <c r="BL125" s="576"/>
      <c r="BM125" s="576"/>
    </row>
    <row r="126" s="577" customFormat="1" ht="14.1" customHeight="1" outlineLevel="2" spans="1:65">
      <c r="A126" s="591"/>
      <c r="B126" s="598" t="s">
        <v>960</v>
      </c>
      <c r="C126" s="599" t="s">
        <v>657</v>
      </c>
      <c r="D126" s="712" t="s">
        <v>961</v>
      </c>
      <c r="E126" s="712"/>
      <c r="F126" s="601"/>
      <c r="G126" s="601"/>
      <c r="H126" s="601"/>
      <c r="I126" s="601"/>
      <c r="J126" s="601"/>
      <c r="K126" s="601"/>
      <c r="L126" s="601"/>
      <c r="M126" s="601"/>
      <c r="N126" s="646"/>
      <c r="O126" s="635"/>
      <c r="P126" s="636"/>
      <c r="Q126" s="667"/>
      <c r="R126" s="668"/>
      <c r="S126" s="669"/>
      <c r="T126" s="669"/>
      <c r="U126" s="669"/>
      <c r="V126" s="669"/>
      <c r="W126" s="667"/>
      <c r="X126" s="669"/>
      <c r="Y126" s="669"/>
      <c r="Z126" s="671"/>
      <c r="AA126" s="695"/>
      <c r="AB126" s="576"/>
      <c r="AC126" s="576"/>
      <c r="AD126" s="576"/>
      <c r="AE126" s="576"/>
      <c r="AF126" s="576"/>
      <c r="AG126" s="576"/>
      <c r="AH126" s="576"/>
      <c r="AI126" s="576"/>
      <c r="AJ126" s="576"/>
      <c r="AK126" s="576"/>
      <c r="AL126" s="576"/>
      <c r="AM126" s="576"/>
      <c r="AN126" s="576"/>
      <c r="AO126" s="576"/>
      <c r="AP126" s="576"/>
      <c r="AQ126" s="576"/>
      <c r="AR126" s="576"/>
      <c r="AS126" s="576"/>
      <c r="AT126" s="576"/>
      <c r="AU126" s="576"/>
      <c r="AV126" s="576"/>
      <c r="AW126" s="576"/>
      <c r="AX126" s="576"/>
      <c r="AY126" s="576"/>
      <c r="AZ126" s="576"/>
      <c r="BA126" s="576"/>
      <c r="BB126" s="576"/>
      <c r="BC126" s="576"/>
      <c r="BD126" s="576"/>
      <c r="BE126" s="576"/>
      <c r="BF126" s="576"/>
      <c r="BG126" s="576"/>
      <c r="BH126" s="576"/>
      <c r="BI126" s="576"/>
      <c r="BJ126" s="576"/>
      <c r="BK126" s="576"/>
      <c r="BL126" s="576"/>
      <c r="BM126" s="576"/>
    </row>
    <row r="127" s="577" customFormat="1" ht="14.1" customHeight="1" outlineLevel="3" spans="1:65">
      <c r="A127" s="591"/>
      <c r="B127" s="598" t="s">
        <v>962</v>
      </c>
      <c r="C127" s="599" t="s">
        <v>622</v>
      </c>
      <c r="D127" s="712" t="s">
        <v>963</v>
      </c>
      <c r="E127" s="712"/>
      <c r="F127" s="601"/>
      <c r="G127" s="601"/>
      <c r="H127" s="601"/>
      <c r="I127" s="601"/>
      <c r="J127" s="601"/>
      <c r="K127" s="601"/>
      <c r="L127" s="601"/>
      <c r="M127" s="601"/>
      <c r="N127" s="646"/>
      <c r="O127" s="635"/>
      <c r="P127" s="636"/>
      <c r="Q127" s="667"/>
      <c r="R127" s="668"/>
      <c r="S127" s="669"/>
      <c r="T127" s="669"/>
      <c r="U127" s="669"/>
      <c r="V127" s="669"/>
      <c r="W127" s="667"/>
      <c r="X127" s="669"/>
      <c r="Y127" s="669"/>
      <c r="Z127" s="671"/>
      <c r="AA127" s="695"/>
      <c r="AB127" s="576"/>
      <c r="AC127" s="576"/>
      <c r="AD127" s="576"/>
      <c r="AE127" s="576"/>
      <c r="AF127" s="576"/>
      <c r="AG127" s="576"/>
      <c r="AH127" s="576"/>
      <c r="AI127" s="576"/>
      <c r="AJ127" s="576"/>
      <c r="AK127" s="576"/>
      <c r="AL127" s="576"/>
      <c r="AM127" s="576"/>
      <c r="AN127" s="576"/>
      <c r="AO127" s="576"/>
      <c r="AP127" s="576"/>
      <c r="AQ127" s="576"/>
      <c r="AR127" s="576"/>
      <c r="AS127" s="576"/>
      <c r="AT127" s="576"/>
      <c r="AU127" s="576"/>
      <c r="AV127" s="576"/>
      <c r="AW127" s="576"/>
      <c r="AX127" s="576"/>
      <c r="AY127" s="576"/>
      <c r="AZ127" s="576"/>
      <c r="BA127" s="576"/>
      <c r="BB127" s="576"/>
      <c r="BC127" s="576"/>
      <c r="BD127" s="576"/>
      <c r="BE127" s="576"/>
      <c r="BF127" s="576"/>
      <c r="BG127" s="576"/>
      <c r="BH127" s="576"/>
      <c r="BI127" s="576"/>
      <c r="BJ127" s="576"/>
      <c r="BK127" s="576"/>
      <c r="BL127" s="576"/>
      <c r="BM127" s="576"/>
    </row>
    <row r="128" s="577" customFormat="1" ht="14.1" customHeight="1" outlineLevel="3" spans="1:65">
      <c r="A128" s="591"/>
      <c r="B128" s="598" t="s">
        <v>964</v>
      </c>
      <c r="C128" s="599" t="s">
        <v>622</v>
      </c>
      <c r="D128" s="712" t="s">
        <v>965</v>
      </c>
      <c r="E128" s="712"/>
      <c r="F128" s="601"/>
      <c r="G128" s="601"/>
      <c r="H128" s="601"/>
      <c r="I128" s="601"/>
      <c r="J128" s="601"/>
      <c r="K128" s="601"/>
      <c r="L128" s="601"/>
      <c r="M128" s="601"/>
      <c r="N128" s="646"/>
      <c r="O128" s="635"/>
      <c r="P128" s="636"/>
      <c r="Q128" s="667"/>
      <c r="R128" s="668"/>
      <c r="S128" s="669"/>
      <c r="T128" s="669"/>
      <c r="U128" s="669"/>
      <c r="V128" s="669"/>
      <c r="W128" s="667"/>
      <c r="X128" s="669"/>
      <c r="Y128" s="669"/>
      <c r="Z128" s="671"/>
      <c r="AA128" s="695"/>
      <c r="AB128" s="576"/>
      <c r="AC128" s="576"/>
      <c r="AD128" s="576"/>
      <c r="AE128" s="576"/>
      <c r="AF128" s="576"/>
      <c r="AG128" s="576"/>
      <c r="AH128" s="576"/>
      <c r="AI128" s="576"/>
      <c r="AJ128" s="576"/>
      <c r="AK128" s="576"/>
      <c r="AL128" s="576"/>
      <c r="AM128" s="576"/>
      <c r="AN128" s="576"/>
      <c r="AO128" s="576"/>
      <c r="AP128" s="576"/>
      <c r="AQ128" s="576"/>
      <c r="AR128" s="576"/>
      <c r="AS128" s="576"/>
      <c r="AT128" s="576"/>
      <c r="AU128" s="576"/>
      <c r="AV128" s="576"/>
      <c r="AW128" s="576"/>
      <c r="AX128" s="576"/>
      <c r="AY128" s="576"/>
      <c r="AZ128" s="576"/>
      <c r="BA128" s="576"/>
      <c r="BB128" s="576"/>
      <c r="BC128" s="576"/>
      <c r="BD128" s="576"/>
      <c r="BE128" s="576"/>
      <c r="BF128" s="576"/>
      <c r="BG128" s="576"/>
      <c r="BH128" s="576"/>
      <c r="BI128" s="576"/>
      <c r="BJ128" s="576"/>
      <c r="BK128" s="576"/>
      <c r="BL128" s="576"/>
      <c r="BM128" s="576"/>
    </row>
    <row r="129" s="577" customFormat="1" ht="14.1" customHeight="1" outlineLevel="3" spans="1:65">
      <c r="A129" s="591"/>
      <c r="B129" s="598" t="s">
        <v>966</v>
      </c>
      <c r="C129" s="599" t="s">
        <v>622</v>
      </c>
      <c r="D129" s="712" t="s">
        <v>967</v>
      </c>
      <c r="E129" s="712"/>
      <c r="F129" s="601"/>
      <c r="G129" s="601"/>
      <c r="H129" s="601"/>
      <c r="I129" s="601"/>
      <c r="J129" s="601"/>
      <c r="K129" s="601"/>
      <c r="L129" s="601"/>
      <c r="M129" s="601"/>
      <c r="N129" s="646"/>
      <c r="O129" s="635"/>
      <c r="P129" s="636"/>
      <c r="Q129" s="667"/>
      <c r="R129" s="668"/>
      <c r="S129" s="669"/>
      <c r="T129" s="669"/>
      <c r="U129" s="669"/>
      <c r="V129" s="669"/>
      <c r="W129" s="667"/>
      <c r="X129" s="669"/>
      <c r="Y129" s="669"/>
      <c r="Z129" s="671"/>
      <c r="AA129" s="695"/>
      <c r="AB129" s="576"/>
      <c r="AC129" s="576"/>
      <c r="AD129" s="576"/>
      <c r="AE129" s="576"/>
      <c r="AF129" s="576"/>
      <c r="AG129" s="576"/>
      <c r="AH129" s="576"/>
      <c r="AI129" s="576"/>
      <c r="AJ129" s="576"/>
      <c r="AK129" s="576"/>
      <c r="AL129" s="576"/>
      <c r="AM129" s="576"/>
      <c r="AN129" s="576"/>
      <c r="AO129" s="576"/>
      <c r="AP129" s="576"/>
      <c r="AQ129" s="576"/>
      <c r="AR129" s="576"/>
      <c r="AS129" s="576"/>
      <c r="AT129" s="576"/>
      <c r="AU129" s="576"/>
      <c r="AV129" s="576"/>
      <c r="AW129" s="576"/>
      <c r="AX129" s="576"/>
      <c r="AY129" s="576"/>
      <c r="AZ129" s="576"/>
      <c r="BA129" s="576"/>
      <c r="BB129" s="576"/>
      <c r="BC129" s="576"/>
      <c r="BD129" s="576"/>
      <c r="BE129" s="576"/>
      <c r="BF129" s="576"/>
      <c r="BG129" s="576"/>
      <c r="BH129" s="576"/>
      <c r="BI129" s="576"/>
      <c r="BJ129" s="576"/>
      <c r="BK129" s="576"/>
      <c r="BL129" s="576"/>
      <c r="BM129" s="576"/>
    </row>
    <row r="130" s="577" customFormat="1" ht="14.1" customHeight="1" outlineLevel="2" collapsed="1" spans="1:65">
      <c r="A130" s="591"/>
      <c r="B130" s="598" t="s">
        <v>968</v>
      </c>
      <c r="C130" s="599" t="s">
        <v>1032</v>
      </c>
      <c r="D130" s="712" t="s">
        <v>969</v>
      </c>
      <c r="E130" s="712"/>
      <c r="F130" s="601"/>
      <c r="G130" s="601"/>
      <c r="H130" s="601"/>
      <c r="I130" s="601"/>
      <c r="J130" s="601"/>
      <c r="K130" s="601"/>
      <c r="L130" s="601"/>
      <c r="M130" s="601"/>
      <c r="N130" s="646"/>
      <c r="O130" s="635"/>
      <c r="P130" s="636"/>
      <c r="Q130" s="667"/>
      <c r="R130" s="668"/>
      <c r="S130" s="669"/>
      <c r="T130" s="669"/>
      <c r="U130" s="669"/>
      <c r="V130" s="669"/>
      <c r="W130" s="667"/>
      <c r="X130" s="669"/>
      <c r="Y130" s="669"/>
      <c r="Z130" s="671"/>
      <c r="AA130" s="695"/>
      <c r="AB130" s="576"/>
      <c r="AC130" s="576"/>
      <c r="AD130" s="576"/>
      <c r="AE130" s="576"/>
      <c r="AF130" s="576"/>
      <c r="AG130" s="576"/>
      <c r="AH130" s="576"/>
      <c r="AI130" s="576"/>
      <c r="AJ130" s="576"/>
      <c r="AK130" s="576"/>
      <c r="AL130" s="576"/>
      <c r="AM130" s="576"/>
      <c r="AN130" s="576"/>
      <c r="AO130" s="576"/>
      <c r="AP130" s="576"/>
      <c r="AQ130" s="576"/>
      <c r="AR130" s="576"/>
      <c r="AS130" s="576"/>
      <c r="AT130" s="576"/>
      <c r="AU130" s="576"/>
      <c r="AV130" s="576"/>
      <c r="AW130" s="576"/>
      <c r="AX130" s="576"/>
      <c r="AY130" s="576"/>
      <c r="AZ130" s="576"/>
      <c r="BA130" s="576"/>
      <c r="BB130" s="576"/>
      <c r="BC130" s="576"/>
      <c r="BD130" s="576"/>
      <c r="BE130" s="576"/>
      <c r="BF130" s="576"/>
      <c r="BG130" s="576"/>
      <c r="BH130" s="576"/>
      <c r="BI130" s="576"/>
      <c r="BJ130" s="576"/>
      <c r="BK130" s="576"/>
      <c r="BL130" s="576"/>
      <c r="BM130" s="576"/>
    </row>
    <row r="131" s="577" customFormat="1" ht="14.1" customHeight="1" outlineLevel="2" spans="1:65">
      <c r="A131" s="591"/>
      <c r="B131" s="598" t="s">
        <v>970</v>
      </c>
      <c r="C131" s="599" t="s">
        <v>1051</v>
      </c>
      <c r="D131" s="712" t="s">
        <v>971</v>
      </c>
      <c r="E131" s="712"/>
      <c r="F131" s="601"/>
      <c r="G131" s="601"/>
      <c r="H131" s="601"/>
      <c r="I131" s="601"/>
      <c r="J131" s="601"/>
      <c r="K131" s="601"/>
      <c r="L131" s="601"/>
      <c r="M131" s="601"/>
      <c r="N131" s="646"/>
      <c r="O131" s="635"/>
      <c r="P131" s="636"/>
      <c r="Q131" s="667"/>
      <c r="R131" s="668"/>
      <c r="S131" s="669"/>
      <c r="T131" s="669"/>
      <c r="U131" s="669"/>
      <c r="V131" s="669"/>
      <c r="W131" s="667"/>
      <c r="X131" s="669"/>
      <c r="Y131" s="669"/>
      <c r="Z131" s="671"/>
      <c r="AA131" s="695"/>
      <c r="AB131" s="576"/>
      <c r="AC131" s="576"/>
      <c r="AD131" s="576"/>
      <c r="AE131" s="576"/>
      <c r="AF131" s="576"/>
      <c r="AG131" s="576"/>
      <c r="AH131" s="576"/>
      <c r="AI131" s="576"/>
      <c r="AJ131" s="576"/>
      <c r="AK131" s="576"/>
      <c r="AL131" s="576"/>
      <c r="AM131" s="576"/>
      <c r="AN131" s="576"/>
      <c r="AO131" s="576"/>
      <c r="AP131" s="576"/>
      <c r="AQ131" s="576"/>
      <c r="AR131" s="576"/>
      <c r="AS131" s="576"/>
      <c r="AT131" s="576"/>
      <c r="AU131" s="576"/>
      <c r="AV131" s="576"/>
      <c r="AW131" s="576"/>
      <c r="AX131" s="576"/>
      <c r="AY131" s="576"/>
      <c r="AZ131" s="576"/>
      <c r="BA131" s="576"/>
      <c r="BB131" s="576"/>
      <c r="BC131" s="576"/>
      <c r="BD131" s="576"/>
      <c r="BE131" s="576"/>
      <c r="BF131" s="576"/>
      <c r="BG131" s="576"/>
      <c r="BH131" s="576"/>
      <c r="BI131" s="576"/>
      <c r="BJ131" s="576"/>
      <c r="BK131" s="576"/>
      <c r="BL131" s="576"/>
      <c r="BM131" s="576"/>
    </row>
    <row r="132" s="577" customFormat="1" ht="14.1" customHeight="1" outlineLevel="2" spans="1:65">
      <c r="A132" s="591"/>
      <c r="B132" s="598" t="s">
        <v>972</v>
      </c>
      <c r="C132" s="599" t="s">
        <v>1059</v>
      </c>
      <c r="D132" s="712" t="s">
        <v>973</v>
      </c>
      <c r="E132" s="712"/>
      <c r="F132" s="601"/>
      <c r="G132" s="601"/>
      <c r="H132" s="601"/>
      <c r="I132" s="601"/>
      <c r="J132" s="601"/>
      <c r="K132" s="601"/>
      <c r="L132" s="601"/>
      <c r="M132" s="601"/>
      <c r="N132" s="646"/>
      <c r="O132" s="635"/>
      <c r="P132" s="636"/>
      <c r="Q132" s="667"/>
      <c r="R132" s="668"/>
      <c r="S132" s="669"/>
      <c r="T132" s="669"/>
      <c r="U132" s="669"/>
      <c r="V132" s="669"/>
      <c r="W132" s="667"/>
      <c r="X132" s="669"/>
      <c r="Y132" s="669"/>
      <c r="Z132" s="671"/>
      <c r="AA132" s="695"/>
      <c r="AB132" s="576"/>
      <c r="AC132" s="576"/>
      <c r="AD132" s="576"/>
      <c r="AE132" s="576"/>
      <c r="AF132" s="576"/>
      <c r="AG132" s="576"/>
      <c r="AH132" s="576"/>
      <c r="AI132" s="576"/>
      <c r="AJ132" s="576"/>
      <c r="AK132" s="576"/>
      <c r="AL132" s="576"/>
      <c r="AM132" s="576"/>
      <c r="AN132" s="576"/>
      <c r="AO132" s="576"/>
      <c r="AP132" s="576"/>
      <c r="AQ132" s="576"/>
      <c r="AR132" s="576"/>
      <c r="AS132" s="576"/>
      <c r="AT132" s="576"/>
      <c r="AU132" s="576"/>
      <c r="AV132" s="576"/>
      <c r="AW132" s="576"/>
      <c r="AX132" s="576"/>
      <c r="AY132" s="576"/>
      <c r="AZ132" s="576"/>
      <c r="BA132" s="576"/>
      <c r="BB132" s="576"/>
      <c r="BC132" s="576"/>
      <c r="BD132" s="576"/>
      <c r="BE132" s="576"/>
      <c r="BF132" s="576"/>
      <c r="BG132" s="576"/>
      <c r="BH132" s="576"/>
      <c r="BI132" s="576"/>
      <c r="BJ132" s="576"/>
      <c r="BK132" s="576"/>
      <c r="BL132" s="576"/>
      <c r="BM132" s="576"/>
    </row>
    <row r="133" s="577" customFormat="1" ht="14.1" customHeight="1" outlineLevel="2" spans="1:65">
      <c r="A133" s="591"/>
      <c r="B133" s="598" t="s">
        <v>974</v>
      </c>
      <c r="C133" s="599" t="s">
        <v>788</v>
      </c>
      <c r="D133" s="712" t="s">
        <v>975</v>
      </c>
      <c r="E133" s="712"/>
      <c r="F133" s="601"/>
      <c r="G133" s="601"/>
      <c r="H133" s="601"/>
      <c r="I133" s="601"/>
      <c r="J133" s="601"/>
      <c r="K133" s="601"/>
      <c r="L133" s="601"/>
      <c r="M133" s="601"/>
      <c r="N133" s="646"/>
      <c r="O133" s="635"/>
      <c r="P133" s="636"/>
      <c r="Q133" s="667"/>
      <c r="R133" s="668"/>
      <c r="S133" s="669"/>
      <c r="T133" s="669"/>
      <c r="U133" s="669"/>
      <c r="V133" s="669"/>
      <c r="W133" s="667"/>
      <c r="X133" s="669"/>
      <c r="Y133" s="669"/>
      <c r="Z133" s="671"/>
      <c r="AA133" s="695"/>
      <c r="AB133" s="576"/>
      <c r="AC133" s="576"/>
      <c r="AD133" s="576"/>
      <c r="AE133" s="576"/>
      <c r="AF133" s="576"/>
      <c r="AG133" s="576"/>
      <c r="AH133" s="576"/>
      <c r="AI133" s="576"/>
      <c r="AJ133" s="576"/>
      <c r="AK133" s="576"/>
      <c r="AL133" s="576"/>
      <c r="AM133" s="576"/>
      <c r="AN133" s="576"/>
      <c r="AO133" s="576"/>
      <c r="AP133" s="576"/>
      <c r="AQ133" s="576"/>
      <c r="AR133" s="576"/>
      <c r="AS133" s="576"/>
      <c r="AT133" s="576"/>
      <c r="AU133" s="576"/>
      <c r="AV133" s="576"/>
      <c r="AW133" s="576"/>
      <c r="AX133" s="576"/>
      <c r="AY133" s="576"/>
      <c r="AZ133" s="576"/>
      <c r="BA133" s="576"/>
      <c r="BB133" s="576"/>
      <c r="BC133" s="576"/>
      <c r="BD133" s="576"/>
      <c r="BE133" s="576"/>
      <c r="BF133" s="576"/>
      <c r="BG133" s="576"/>
      <c r="BH133" s="576"/>
      <c r="BI133" s="576"/>
      <c r="BJ133" s="576"/>
      <c r="BK133" s="576"/>
      <c r="BL133" s="576"/>
      <c r="BM133" s="576"/>
    </row>
    <row r="134" s="577" customFormat="1" ht="14.1" customHeight="1" outlineLevel="3" spans="1:65">
      <c r="A134" s="591"/>
      <c r="B134" s="598" t="s">
        <v>976</v>
      </c>
      <c r="C134" s="599" t="s">
        <v>622</v>
      </c>
      <c r="D134" s="712" t="s">
        <v>977</v>
      </c>
      <c r="E134" s="712"/>
      <c r="F134" s="601"/>
      <c r="G134" s="601"/>
      <c r="H134" s="601"/>
      <c r="I134" s="601"/>
      <c r="J134" s="601"/>
      <c r="K134" s="601"/>
      <c r="L134" s="601"/>
      <c r="M134" s="601"/>
      <c r="N134" s="646"/>
      <c r="O134" s="635"/>
      <c r="P134" s="636"/>
      <c r="Q134" s="667"/>
      <c r="R134" s="668"/>
      <c r="S134" s="669"/>
      <c r="T134" s="669"/>
      <c r="U134" s="669"/>
      <c r="V134" s="669"/>
      <c r="W134" s="667"/>
      <c r="X134" s="669"/>
      <c r="Y134" s="669"/>
      <c r="Z134" s="671"/>
      <c r="AA134" s="695"/>
      <c r="AB134" s="576"/>
      <c r="AC134" s="576"/>
      <c r="AD134" s="576"/>
      <c r="AE134" s="576"/>
      <c r="AF134" s="576"/>
      <c r="AG134" s="576"/>
      <c r="AH134" s="576"/>
      <c r="AI134" s="576"/>
      <c r="AJ134" s="576"/>
      <c r="AK134" s="576"/>
      <c r="AL134" s="576"/>
      <c r="AM134" s="576"/>
      <c r="AN134" s="576"/>
      <c r="AO134" s="576"/>
      <c r="AP134" s="576"/>
      <c r="AQ134" s="576"/>
      <c r="AR134" s="576"/>
      <c r="AS134" s="576"/>
      <c r="AT134" s="576"/>
      <c r="AU134" s="576"/>
      <c r="AV134" s="576"/>
      <c r="AW134" s="576"/>
      <c r="AX134" s="576"/>
      <c r="AY134" s="576"/>
      <c r="AZ134" s="576"/>
      <c r="BA134" s="576"/>
      <c r="BB134" s="576"/>
      <c r="BC134" s="576"/>
      <c r="BD134" s="576"/>
      <c r="BE134" s="576"/>
      <c r="BF134" s="576"/>
      <c r="BG134" s="576"/>
      <c r="BH134" s="576"/>
      <c r="BI134" s="576"/>
      <c r="BJ134" s="576"/>
      <c r="BK134" s="576"/>
      <c r="BL134" s="576"/>
      <c r="BM134" s="576"/>
    </row>
    <row r="135" s="577" customFormat="1" ht="14.1" customHeight="1" outlineLevel="3" spans="1:65">
      <c r="A135" s="591"/>
      <c r="B135" s="598" t="s">
        <v>978</v>
      </c>
      <c r="C135" s="599" t="s">
        <v>622</v>
      </c>
      <c r="D135" s="712" t="s">
        <v>979</v>
      </c>
      <c r="E135" s="712"/>
      <c r="F135" s="601"/>
      <c r="G135" s="601"/>
      <c r="H135" s="601"/>
      <c r="I135" s="601"/>
      <c r="J135" s="601"/>
      <c r="K135" s="601"/>
      <c r="L135" s="601"/>
      <c r="M135" s="601"/>
      <c r="N135" s="646"/>
      <c r="O135" s="635"/>
      <c r="P135" s="636"/>
      <c r="Q135" s="667"/>
      <c r="R135" s="668"/>
      <c r="S135" s="669"/>
      <c r="T135" s="669"/>
      <c r="U135" s="669"/>
      <c r="V135" s="669"/>
      <c r="W135" s="667"/>
      <c r="X135" s="669"/>
      <c r="Y135" s="669"/>
      <c r="Z135" s="671"/>
      <c r="AA135" s="695"/>
      <c r="AB135" s="576"/>
      <c r="AC135" s="576"/>
      <c r="AD135" s="576"/>
      <c r="AE135" s="576"/>
      <c r="AF135" s="576"/>
      <c r="AG135" s="576"/>
      <c r="AH135" s="576"/>
      <c r="AI135" s="576"/>
      <c r="AJ135" s="576"/>
      <c r="AK135" s="576"/>
      <c r="AL135" s="576"/>
      <c r="AM135" s="576"/>
      <c r="AN135" s="576"/>
      <c r="AO135" s="576"/>
      <c r="AP135" s="576"/>
      <c r="AQ135" s="576"/>
      <c r="AR135" s="576"/>
      <c r="AS135" s="576"/>
      <c r="AT135" s="576"/>
      <c r="AU135" s="576"/>
      <c r="AV135" s="576"/>
      <c r="AW135" s="576"/>
      <c r="AX135" s="576"/>
      <c r="AY135" s="576"/>
      <c r="AZ135" s="576"/>
      <c r="BA135" s="576"/>
      <c r="BB135" s="576"/>
      <c r="BC135" s="576"/>
      <c r="BD135" s="576"/>
      <c r="BE135" s="576"/>
      <c r="BF135" s="576"/>
      <c r="BG135" s="576"/>
      <c r="BH135" s="576"/>
      <c r="BI135" s="576"/>
      <c r="BJ135" s="576"/>
      <c r="BK135" s="576"/>
      <c r="BL135" s="576"/>
      <c r="BM135" s="576"/>
    </row>
    <row r="136" s="577" customFormat="1" ht="14.1" customHeight="1" outlineLevel="3" spans="1:65">
      <c r="A136" s="591"/>
      <c r="B136" s="598" t="s">
        <v>980</v>
      </c>
      <c r="C136" s="599" t="s">
        <v>622</v>
      </c>
      <c r="D136" s="712" t="s">
        <v>981</v>
      </c>
      <c r="E136" s="712"/>
      <c r="F136" s="601"/>
      <c r="G136" s="601"/>
      <c r="H136" s="601"/>
      <c r="I136" s="601"/>
      <c r="J136" s="601"/>
      <c r="K136" s="601"/>
      <c r="L136" s="601"/>
      <c r="M136" s="601"/>
      <c r="N136" s="646"/>
      <c r="O136" s="635"/>
      <c r="P136" s="636"/>
      <c r="Q136" s="667"/>
      <c r="R136" s="668"/>
      <c r="S136" s="669"/>
      <c r="T136" s="669"/>
      <c r="U136" s="669"/>
      <c r="V136" s="669"/>
      <c r="W136" s="667"/>
      <c r="X136" s="669"/>
      <c r="Y136" s="669"/>
      <c r="Z136" s="671"/>
      <c r="AA136" s="695"/>
      <c r="AB136" s="576"/>
      <c r="AC136" s="576"/>
      <c r="AD136" s="576"/>
      <c r="AE136" s="576"/>
      <c r="AF136" s="576"/>
      <c r="AG136" s="576"/>
      <c r="AH136" s="576"/>
      <c r="AI136" s="576"/>
      <c r="AJ136" s="576"/>
      <c r="AK136" s="576"/>
      <c r="AL136" s="576"/>
      <c r="AM136" s="576"/>
      <c r="AN136" s="576"/>
      <c r="AO136" s="576"/>
      <c r="AP136" s="576"/>
      <c r="AQ136" s="576"/>
      <c r="AR136" s="576"/>
      <c r="AS136" s="576"/>
      <c r="AT136" s="576"/>
      <c r="AU136" s="576"/>
      <c r="AV136" s="576"/>
      <c r="AW136" s="576"/>
      <c r="AX136" s="576"/>
      <c r="AY136" s="576"/>
      <c r="AZ136" s="576"/>
      <c r="BA136" s="576"/>
      <c r="BB136" s="576"/>
      <c r="BC136" s="576"/>
      <c r="BD136" s="576"/>
      <c r="BE136" s="576"/>
      <c r="BF136" s="576"/>
      <c r="BG136" s="576"/>
      <c r="BH136" s="576"/>
      <c r="BI136" s="576"/>
      <c r="BJ136" s="576"/>
      <c r="BK136" s="576"/>
      <c r="BL136" s="576"/>
      <c r="BM136" s="576"/>
    </row>
    <row r="137" s="577" customFormat="1" ht="14.1" customHeight="1" outlineLevel="3" spans="1:65">
      <c r="A137" s="591"/>
      <c r="B137" s="598" t="s">
        <v>982</v>
      </c>
      <c r="C137" s="599" t="s">
        <v>622</v>
      </c>
      <c r="D137" s="712" t="s">
        <v>983</v>
      </c>
      <c r="E137" s="712"/>
      <c r="F137" s="601"/>
      <c r="G137" s="601"/>
      <c r="H137" s="601"/>
      <c r="I137" s="601"/>
      <c r="J137" s="601"/>
      <c r="K137" s="601"/>
      <c r="L137" s="601"/>
      <c r="M137" s="601"/>
      <c r="N137" s="646"/>
      <c r="O137" s="635"/>
      <c r="P137" s="636"/>
      <c r="Q137" s="667"/>
      <c r="R137" s="668"/>
      <c r="S137" s="669"/>
      <c r="T137" s="669"/>
      <c r="U137" s="669"/>
      <c r="V137" s="669"/>
      <c r="W137" s="667"/>
      <c r="X137" s="669"/>
      <c r="Y137" s="669"/>
      <c r="Z137" s="671"/>
      <c r="AA137" s="695"/>
      <c r="AB137" s="576"/>
      <c r="AC137" s="576"/>
      <c r="AD137" s="576"/>
      <c r="AE137" s="576"/>
      <c r="AF137" s="576"/>
      <c r="AG137" s="576"/>
      <c r="AH137" s="576"/>
      <c r="AI137" s="576"/>
      <c r="AJ137" s="576"/>
      <c r="AK137" s="576"/>
      <c r="AL137" s="576"/>
      <c r="AM137" s="576"/>
      <c r="AN137" s="576"/>
      <c r="AO137" s="576"/>
      <c r="AP137" s="576"/>
      <c r="AQ137" s="576"/>
      <c r="AR137" s="576"/>
      <c r="AS137" s="576"/>
      <c r="AT137" s="576"/>
      <c r="AU137" s="576"/>
      <c r="AV137" s="576"/>
      <c r="AW137" s="576"/>
      <c r="AX137" s="576"/>
      <c r="AY137" s="576"/>
      <c r="AZ137" s="576"/>
      <c r="BA137" s="576"/>
      <c r="BB137" s="576"/>
      <c r="BC137" s="576"/>
      <c r="BD137" s="576"/>
      <c r="BE137" s="576"/>
      <c r="BF137" s="576"/>
      <c r="BG137" s="576"/>
      <c r="BH137" s="576"/>
      <c r="BI137" s="576"/>
      <c r="BJ137" s="576"/>
      <c r="BK137" s="576"/>
      <c r="BL137" s="576"/>
      <c r="BM137" s="576"/>
    </row>
    <row r="138" s="577" customFormat="1" ht="14.1" customHeight="1" outlineLevel="2" spans="1:65">
      <c r="A138" s="591"/>
      <c r="B138" s="598" t="s">
        <v>984</v>
      </c>
      <c r="C138" s="599" t="s">
        <v>791</v>
      </c>
      <c r="D138" s="712" t="s">
        <v>985</v>
      </c>
      <c r="E138" s="712"/>
      <c r="F138" s="601"/>
      <c r="G138" s="601"/>
      <c r="H138" s="601"/>
      <c r="I138" s="601"/>
      <c r="J138" s="601"/>
      <c r="K138" s="601"/>
      <c r="L138" s="601"/>
      <c r="M138" s="601"/>
      <c r="N138" s="646"/>
      <c r="O138" s="635"/>
      <c r="P138" s="636"/>
      <c r="Q138" s="667"/>
      <c r="R138" s="668"/>
      <c r="S138" s="669"/>
      <c r="T138" s="669"/>
      <c r="U138" s="669"/>
      <c r="V138" s="669"/>
      <c r="W138" s="667"/>
      <c r="X138" s="669"/>
      <c r="Y138" s="669"/>
      <c r="Z138" s="671"/>
      <c r="AA138" s="695"/>
      <c r="AB138" s="576"/>
      <c r="AC138" s="576"/>
      <c r="AD138" s="576"/>
      <c r="AE138" s="576"/>
      <c r="AF138" s="576"/>
      <c r="AG138" s="576"/>
      <c r="AH138" s="576"/>
      <c r="AI138" s="576"/>
      <c r="AJ138" s="576"/>
      <c r="AK138" s="576"/>
      <c r="AL138" s="576"/>
      <c r="AM138" s="576"/>
      <c r="AN138" s="576"/>
      <c r="AO138" s="576"/>
      <c r="AP138" s="576"/>
      <c r="AQ138" s="576"/>
      <c r="AR138" s="576"/>
      <c r="AS138" s="576"/>
      <c r="AT138" s="576"/>
      <c r="AU138" s="576"/>
      <c r="AV138" s="576"/>
      <c r="AW138" s="576"/>
      <c r="AX138" s="576"/>
      <c r="AY138" s="576"/>
      <c r="AZ138" s="576"/>
      <c r="BA138" s="576"/>
      <c r="BB138" s="576"/>
      <c r="BC138" s="576"/>
      <c r="BD138" s="576"/>
      <c r="BE138" s="576"/>
      <c r="BF138" s="576"/>
      <c r="BG138" s="576"/>
      <c r="BH138" s="576"/>
      <c r="BI138" s="576"/>
      <c r="BJ138" s="576"/>
      <c r="BK138" s="576"/>
      <c r="BL138" s="576"/>
      <c r="BM138" s="576"/>
    </row>
    <row r="139" s="577" customFormat="1" ht="14.1" customHeight="1" outlineLevel="3" spans="1:65">
      <c r="A139" s="591"/>
      <c r="B139" s="598" t="s">
        <v>986</v>
      </c>
      <c r="C139" s="599" t="s">
        <v>622</v>
      </c>
      <c r="D139" s="712" t="s">
        <v>987</v>
      </c>
      <c r="E139" s="712"/>
      <c r="F139" s="601"/>
      <c r="G139" s="601"/>
      <c r="H139" s="601"/>
      <c r="I139" s="601"/>
      <c r="J139" s="601"/>
      <c r="K139" s="601"/>
      <c r="L139" s="601"/>
      <c r="M139" s="601"/>
      <c r="N139" s="646"/>
      <c r="O139" s="635"/>
      <c r="P139" s="636"/>
      <c r="Q139" s="667"/>
      <c r="R139" s="668"/>
      <c r="S139" s="669"/>
      <c r="T139" s="669"/>
      <c r="U139" s="669"/>
      <c r="V139" s="669"/>
      <c r="W139" s="667"/>
      <c r="X139" s="669"/>
      <c r="Y139" s="669"/>
      <c r="Z139" s="671"/>
      <c r="AA139" s="695"/>
      <c r="AB139" s="576"/>
      <c r="AC139" s="576"/>
      <c r="AD139" s="576"/>
      <c r="AE139" s="576"/>
      <c r="AF139" s="576"/>
      <c r="AG139" s="576"/>
      <c r="AH139" s="576"/>
      <c r="AI139" s="576"/>
      <c r="AJ139" s="576"/>
      <c r="AK139" s="576"/>
      <c r="AL139" s="576"/>
      <c r="AM139" s="576"/>
      <c r="AN139" s="576"/>
      <c r="AO139" s="576"/>
      <c r="AP139" s="576"/>
      <c r="AQ139" s="576"/>
      <c r="AR139" s="576"/>
      <c r="AS139" s="576"/>
      <c r="AT139" s="576"/>
      <c r="AU139" s="576"/>
      <c r="AV139" s="576"/>
      <c r="AW139" s="576"/>
      <c r="AX139" s="576"/>
      <c r="AY139" s="576"/>
      <c r="AZ139" s="576"/>
      <c r="BA139" s="576"/>
      <c r="BB139" s="576"/>
      <c r="BC139" s="576"/>
      <c r="BD139" s="576"/>
      <c r="BE139" s="576"/>
      <c r="BF139" s="576"/>
      <c r="BG139" s="576"/>
      <c r="BH139" s="576"/>
      <c r="BI139" s="576"/>
      <c r="BJ139" s="576"/>
      <c r="BK139" s="576"/>
      <c r="BL139" s="576"/>
      <c r="BM139" s="576"/>
    </row>
    <row r="140" s="577" customFormat="1" ht="14.1" customHeight="1" outlineLevel="2" collapsed="1" spans="1:65">
      <c r="A140" s="591"/>
      <c r="B140" s="598" t="s">
        <v>989</v>
      </c>
      <c r="C140" s="599" t="s">
        <v>794</v>
      </c>
      <c r="D140" s="712" t="s">
        <v>1275</v>
      </c>
      <c r="E140" s="712"/>
      <c r="F140" s="601"/>
      <c r="G140" s="601"/>
      <c r="H140" s="601"/>
      <c r="I140" s="601"/>
      <c r="J140" s="601"/>
      <c r="K140" s="601"/>
      <c r="L140" s="601"/>
      <c r="M140" s="601"/>
      <c r="N140" s="646"/>
      <c r="O140" s="635"/>
      <c r="P140" s="636"/>
      <c r="Q140" s="667"/>
      <c r="R140" s="668"/>
      <c r="S140" s="669"/>
      <c r="T140" s="669"/>
      <c r="U140" s="669"/>
      <c r="V140" s="669"/>
      <c r="W140" s="667"/>
      <c r="X140" s="669"/>
      <c r="Y140" s="669"/>
      <c r="Z140" s="671"/>
      <c r="AA140" s="695"/>
      <c r="AB140" s="576"/>
      <c r="AC140" s="576"/>
      <c r="AD140" s="576"/>
      <c r="AE140" s="576"/>
      <c r="AF140" s="576"/>
      <c r="AG140" s="576"/>
      <c r="AH140" s="576"/>
      <c r="AI140" s="576"/>
      <c r="AJ140" s="576"/>
      <c r="AK140" s="576"/>
      <c r="AL140" s="576"/>
      <c r="AM140" s="576"/>
      <c r="AN140" s="576"/>
      <c r="AO140" s="576"/>
      <c r="AP140" s="576"/>
      <c r="AQ140" s="576"/>
      <c r="AR140" s="576"/>
      <c r="AS140" s="576"/>
      <c r="AT140" s="576"/>
      <c r="AU140" s="576"/>
      <c r="AV140" s="576"/>
      <c r="AW140" s="576"/>
      <c r="AX140" s="576"/>
      <c r="AY140" s="576"/>
      <c r="AZ140" s="576"/>
      <c r="BA140" s="576"/>
      <c r="BB140" s="576"/>
      <c r="BC140" s="576"/>
      <c r="BD140" s="576"/>
      <c r="BE140" s="576"/>
      <c r="BF140" s="576"/>
      <c r="BG140" s="576"/>
      <c r="BH140" s="576"/>
      <c r="BI140" s="576"/>
      <c r="BJ140" s="576"/>
      <c r="BK140" s="576"/>
      <c r="BL140" s="576"/>
      <c r="BM140" s="576"/>
    </row>
    <row r="141" s="576" customFormat="1" ht="16.5" customHeight="1" outlineLevel="1" spans="1:27">
      <c r="A141" s="591"/>
      <c r="B141" s="608" t="s">
        <v>560</v>
      </c>
      <c r="C141" s="596">
        <v>2</v>
      </c>
      <c r="D141" s="609" t="s">
        <v>561</v>
      </c>
      <c r="E141" s="609"/>
      <c r="F141" s="185"/>
      <c r="G141" s="185"/>
      <c r="H141" s="185"/>
      <c r="I141" s="185"/>
      <c r="J141" s="185"/>
      <c r="K141" s="185"/>
      <c r="L141" s="185"/>
      <c r="M141" s="185"/>
      <c r="N141" s="632"/>
      <c r="O141" s="632"/>
      <c r="P141" s="633"/>
      <c r="Q141" s="738"/>
      <c r="R141" s="739"/>
      <c r="S141" s="740"/>
      <c r="T141" s="740"/>
      <c r="U141" s="740"/>
      <c r="V141" s="740"/>
      <c r="W141" s="738"/>
      <c r="X141" s="740"/>
      <c r="Y141" s="740"/>
      <c r="Z141" s="751"/>
      <c r="AA141" s="694"/>
    </row>
    <row r="142" s="577" customFormat="1" ht="14.1" customHeight="1" outlineLevel="2" spans="1:65">
      <c r="A142" s="591"/>
      <c r="B142" s="598" t="s">
        <v>991</v>
      </c>
      <c r="C142" s="599" t="s">
        <v>619</v>
      </c>
      <c r="D142" s="712" t="s">
        <v>992</v>
      </c>
      <c r="E142" s="712"/>
      <c r="F142" s="601"/>
      <c r="G142" s="601"/>
      <c r="H142" s="601"/>
      <c r="I142" s="601"/>
      <c r="J142" s="601"/>
      <c r="K142" s="601"/>
      <c r="L142" s="601"/>
      <c r="M142" s="601"/>
      <c r="N142" s="646"/>
      <c r="O142" s="635"/>
      <c r="P142" s="636"/>
      <c r="Q142" s="667"/>
      <c r="R142" s="668"/>
      <c r="S142" s="669"/>
      <c r="T142" s="669"/>
      <c r="U142" s="669"/>
      <c r="V142" s="669"/>
      <c r="W142" s="667"/>
      <c r="X142" s="669"/>
      <c r="Y142" s="669"/>
      <c r="Z142" s="671"/>
      <c r="AA142" s="695"/>
      <c r="AB142" s="576"/>
      <c r="AC142" s="576"/>
      <c r="AD142" s="576"/>
      <c r="AE142" s="576"/>
      <c r="AF142" s="576"/>
      <c r="AG142" s="576"/>
      <c r="AH142" s="576"/>
      <c r="AI142" s="576"/>
      <c r="AJ142" s="576"/>
      <c r="AK142" s="576"/>
      <c r="AL142" s="576"/>
      <c r="AM142" s="576"/>
      <c r="AN142" s="576"/>
      <c r="AO142" s="576"/>
      <c r="AP142" s="576"/>
      <c r="AQ142" s="576"/>
      <c r="AR142" s="576"/>
      <c r="AS142" s="576"/>
      <c r="AT142" s="576"/>
      <c r="AU142" s="576"/>
      <c r="AV142" s="576"/>
      <c r="AW142" s="576"/>
      <c r="AX142" s="576"/>
      <c r="AY142" s="576"/>
      <c r="AZ142" s="576"/>
      <c r="BA142" s="576"/>
      <c r="BB142" s="576"/>
      <c r="BC142" s="576"/>
      <c r="BD142" s="576"/>
      <c r="BE142" s="576"/>
      <c r="BF142" s="576"/>
      <c r="BG142" s="576"/>
      <c r="BH142" s="576"/>
      <c r="BI142" s="576"/>
      <c r="BJ142" s="576"/>
      <c r="BK142" s="576"/>
      <c r="BL142" s="576"/>
      <c r="BM142" s="576"/>
    </row>
    <row r="143" s="577" customFormat="1" ht="14.1" customHeight="1" outlineLevel="2" spans="1:65">
      <c r="A143" s="591"/>
      <c r="B143" s="598" t="s">
        <v>996</v>
      </c>
      <c r="C143" s="599" t="s">
        <v>657</v>
      </c>
      <c r="D143" s="712" t="s">
        <v>997</v>
      </c>
      <c r="E143" s="712"/>
      <c r="F143" s="601"/>
      <c r="G143" s="601"/>
      <c r="H143" s="601"/>
      <c r="I143" s="601"/>
      <c r="J143" s="601"/>
      <c r="K143" s="601"/>
      <c r="L143" s="601"/>
      <c r="M143" s="601"/>
      <c r="N143" s="646"/>
      <c r="O143" s="635"/>
      <c r="P143" s="636"/>
      <c r="Q143" s="667"/>
      <c r="R143" s="668"/>
      <c r="S143" s="669"/>
      <c r="T143" s="669"/>
      <c r="U143" s="669"/>
      <c r="V143" s="669"/>
      <c r="W143" s="667"/>
      <c r="X143" s="669"/>
      <c r="Y143" s="669"/>
      <c r="Z143" s="671"/>
      <c r="AA143" s="695"/>
      <c r="AB143" s="576"/>
      <c r="AC143" s="576"/>
      <c r="AD143" s="576"/>
      <c r="AE143" s="576"/>
      <c r="AF143" s="576"/>
      <c r="AG143" s="576"/>
      <c r="AH143" s="576"/>
      <c r="AI143" s="576"/>
      <c r="AJ143" s="576"/>
      <c r="AK143" s="576"/>
      <c r="AL143" s="576"/>
      <c r="AM143" s="576"/>
      <c r="AN143" s="576"/>
      <c r="AO143" s="576"/>
      <c r="AP143" s="576"/>
      <c r="AQ143" s="576"/>
      <c r="AR143" s="576"/>
      <c r="AS143" s="576"/>
      <c r="AT143" s="576"/>
      <c r="AU143" s="576"/>
      <c r="AV143" s="576"/>
      <c r="AW143" s="576"/>
      <c r="AX143" s="576"/>
      <c r="AY143" s="576"/>
      <c r="AZ143" s="576"/>
      <c r="BA143" s="576"/>
      <c r="BB143" s="576"/>
      <c r="BC143" s="576"/>
      <c r="BD143" s="576"/>
      <c r="BE143" s="576"/>
      <c r="BF143" s="576"/>
      <c r="BG143" s="576"/>
      <c r="BH143" s="576"/>
      <c r="BI143" s="576"/>
      <c r="BJ143" s="576"/>
      <c r="BK143" s="576"/>
      <c r="BL143" s="576"/>
      <c r="BM143" s="576"/>
    </row>
    <row r="144" s="577" customFormat="1" ht="14.1" customHeight="1" outlineLevel="2" spans="1:65">
      <c r="A144" s="591"/>
      <c r="B144" s="598" t="s">
        <v>998</v>
      </c>
      <c r="C144" s="599" t="s">
        <v>762</v>
      </c>
      <c r="D144" s="712" t="s">
        <v>999</v>
      </c>
      <c r="E144" s="712"/>
      <c r="F144" s="601"/>
      <c r="G144" s="601"/>
      <c r="H144" s="601"/>
      <c r="I144" s="601"/>
      <c r="J144" s="601"/>
      <c r="K144" s="601"/>
      <c r="L144" s="601"/>
      <c r="M144" s="601"/>
      <c r="N144" s="646"/>
      <c r="O144" s="635"/>
      <c r="P144" s="636"/>
      <c r="Q144" s="667"/>
      <c r="R144" s="668"/>
      <c r="S144" s="669"/>
      <c r="T144" s="669"/>
      <c r="U144" s="669"/>
      <c r="V144" s="669"/>
      <c r="W144" s="667"/>
      <c r="X144" s="669"/>
      <c r="Y144" s="669"/>
      <c r="Z144" s="671"/>
      <c r="AA144" s="695"/>
      <c r="AB144" s="576"/>
      <c r="AC144" s="576"/>
      <c r="AD144" s="576"/>
      <c r="AE144" s="576"/>
      <c r="AF144" s="576"/>
      <c r="AG144" s="576"/>
      <c r="AH144" s="576"/>
      <c r="AI144" s="576"/>
      <c r="AJ144" s="576"/>
      <c r="AK144" s="576"/>
      <c r="AL144" s="576"/>
      <c r="AM144" s="576"/>
      <c r="AN144" s="576"/>
      <c r="AO144" s="576"/>
      <c r="AP144" s="576"/>
      <c r="AQ144" s="576"/>
      <c r="AR144" s="576"/>
      <c r="AS144" s="576"/>
      <c r="AT144" s="576"/>
      <c r="AU144" s="576"/>
      <c r="AV144" s="576"/>
      <c r="AW144" s="576"/>
      <c r="AX144" s="576"/>
      <c r="AY144" s="576"/>
      <c r="AZ144" s="576"/>
      <c r="BA144" s="576"/>
      <c r="BB144" s="576"/>
      <c r="BC144" s="576"/>
      <c r="BD144" s="576"/>
      <c r="BE144" s="576"/>
      <c r="BF144" s="576"/>
      <c r="BG144" s="576"/>
      <c r="BH144" s="576"/>
      <c r="BI144" s="576"/>
      <c r="BJ144" s="576"/>
      <c r="BK144" s="576"/>
      <c r="BL144" s="576"/>
      <c r="BM144" s="576"/>
    </row>
    <row r="145" s="577" customFormat="1" ht="14.1" customHeight="1" outlineLevel="2" spans="1:65">
      <c r="A145" s="591"/>
      <c r="B145" s="598" t="s">
        <v>1000</v>
      </c>
      <c r="C145" s="599" t="s">
        <v>778</v>
      </c>
      <c r="D145" s="712" t="s">
        <v>1001</v>
      </c>
      <c r="E145" s="712"/>
      <c r="F145" s="601"/>
      <c r="G145" s="601"/>
      <c r="H145" s="601"/>
      <c r="I145" s="601"/>
      <c r="J145" s="601"/>
      <c r="K145" s="601"/>
      <c r="L145" s="601"/>
      <c r="M145" s="601"/>
      <c r="N145" s="646"/>
      <c r="O145" s="635"/>
      <c r="P145" s="636"/>
      <c r="Q145" s="667"/>
      <c r="R145" s="668"/>
      <c r="S145" s="669"/>
      <c r="T145" s="669"/>
      <c r="U145" s="669"/>
      <c r="V145" s="669"/>
      <c r="W145" s="667"/>
      <c r="X145" s="669"/>
      <c r="Y145" s="669"/>
      <c r="Z145" s="671"/>
      <c r="AA145" s="695"/>
      <c r="AB145" s="576"/>
      <c r="AC145" s="576"/>
      <c r="AD145" s="576"/>
      <c r="AE145" s="576"/>
      <c r="AF145" s="576"/>
      <c r="AG145" s="576"/>
      <c r="AH145" s="576"/>
      <c r="AI145" s="576"/>
      <c r="AJ145" s="576"/>
      <c r="AK145" s="576"/>
      <c r="AL145" s="576"/>
      <c r="AM145" s="576"/>
      <c r="AN145" s="576"/>
      <c r="AO145" s="576"/>
      <c r="AP145" s="576"/>
      <c r="AQ145" s="576"/>
      <c r="AR145" s="576"/>
      <c r="AS145" s="576"/>
      <c r="AT145" s="576"/>
      <c r="AU145" s="576"/>
      <c r="AV145" s="576"/>
      <c r="AW145" s="576"/>
      <c r="AX145" s="576"/>
      <c r="AY145" s="576"/>
      <c r="AZ145" s="576"/>
      <c r="BA145" s="576"/>
      <c r="BB145" s="576"/>
      <c r="BC145" s="576"/>
      <c r="BD145" s="576"/>
      <c r="BE145" s="576"/>
      <c r="BF145" s="576"/>
      <c r="BG145" s="576"/>
      <c r="BH145" s="576"/>
      <c r="BI145" s="576"/>
      <c r="BJ145" s="576"/>
      <c r="BK145" s="576"/>
      <c r="BL145" s="576"/>
      <c r="BM145" s="576"/>
    </row>
    <row r="146" s="577" customFormat="1" ht="14.1" customHeight="1" outlineLevel="2" spans="1:65">
      <c r="A146" s="591"/>
      <c r="B146" s="598" t="s">
        <v>1002</v>
      </c>
      <c r="C146" s="599" t="s">
        <v>781</v>
      </c>
      <c r="D146" s="712" t="s">
        <v>1003</v>
      </c>
      <c r="E146" s="712"/>
      <c r="F146" s="601"/>
      <c r="G146" s="601"/>
      <c r="H146" s="601"/>
      <c r="I146" s="601"/>
      <c r="J146" s="601"/>
      <c r="K146" s="601"/>
      <c r="L146" s="601"/>
      <c r="M146" s="601"/>
      <c r="N146" s="646"/>
      <c r="O146" s="635"/>
      <c r="P146" s="636"/>
      <c r="Q146" s="667"/>
      <c r="R146" s="668"/>
      <c r="S146" s="669"/>
      <c r="T146" s="669"/>
      <c r="U146" s="669"/>
      <c r="V146" s="669"/>
      <c r="W146" s="667"/>
      <c r="X146" s="669"/>
      <c r="Y146" s="669"/>
      <c r="Z146" s="671"/>
      <c r="AA146" s="695"/>
      <c r="AB146" s="576"/>
      <c r="AC146" s="576"/>
      <c r="AD146" s="576"/>
      <c r="AE146" s="576"/>
      <c r="AF146" s="576"/>
      <c r="AG146" s="576"/>
      <c r="AH146" s="576"/>
      <c r="AI146" s="576"/>
      <c r="AJ146" s="576"/>
      <c r="AK146" s="576"/>
      <c r="AL146" s="576"/>
      <c r="AM146" s="576"/>
      <c r="AN146" s="576"/>
      <c r="AO146" s="576"/>
      <c r="AP146" s="576"/>
      <c r="AQ146" s="576"/>
      <c r="AR146" s="576"/>
      <c r="AS146" s="576"/>
      <c r="AT146" s="576"/>
      <c r="AU146" s="576"/>
      <c r="AV146" s="576"/>
      <c r="AW146" s="576"/>
      <c r="AX146" s="576"/>
      <c r="AY146" s="576"/>
      <c r="AZ146" s="576"/>
      <c r="BA146" s="576"/>
      <c r="BB146" s="576"/>
      <c r="BC146" s="576"/>
      <c r="BD146" s="576"/>
      <c r="BE146" s="576"/>
      <c r="BF146" s="576"/>
      <c r="BG146" s="576"/>
      <c r="BH146" s="576"/>
      <c r="BI146" s="576"/>
      <c r="BJ146" s="576"/>
      <c r="BK146" s="576"/>
      <c r="BL146" s="576"/>
      <c r="BM146" s="576"/>
    </row>
    <row r="147" s="577" customFormat="1" ht="14.1" customHeight="1" outlineLevel="2" spans="1:65">
      <c r="A147" s="591"/>
      <c r="B147" s="598" t="s">
        <v>1004</v>
      </c>
      <c r="C147" s="599" t="s">
        <v>788</v>
      </c>
      <c r="D147" s="712" t="s">
        <v>1005</v>
      </c>
      <c r="E147" s="712"/>
      <c r="F147" s="601"/>
      <c r="G147" s="601"/>
      <c r="H147" s="601"/>
      <c r="I147" s="601"/>
      <c r="J147" s="601"/>
      <c r="K147" s="601"/>
      <c r="L147" s="601"/>
      <c r="M147" s="601"/>
      <c r="N147" s="646"/>
      <c r="O147" s="635"/>
      <c r="P147" s="636"/>
      <c r="Q147" s="667"/>
      <c r="R147" s="668"/>
      <c r="S147" s="669"/>
      <c r="T147" s="669"/>
      <c r="U147" s="669"/>
      <c r="V147" s="669"/>
      <c r="W147" s="667"/>
      <c r="X147" s="669"/>
      <c r="Y147" s="669"/>
      <c r="Z147" s="671"/>
      <c r="AA147" s="695"/>
      <c r="AB147" s="576"/>
      <c r="AC147" s="576"/>
      <c r="AD147" s="576"/>
      <c r="AE147" s="576"/>
      <c r="AF147" s="576"/>
      <c r="AG147" s="576"/>
      <c r="AH147" s="576"/>
      <c r="AI147" s="576"/>
      <c r="AJ147" s="576"/>
      <c r="AK147" s="576"/>
      <c r="AL147" s="576"/>
      <c r="AM147" s="576"/>
      <c r="AN147" s="576"/>
      <c r="AO147" s="576"/>
      <c r="AP147" s="576"/>
      <c r="AQ147" s="576"/>
      <c r="AR147" s="576"/>
      <c r="AS147" s="576"/>
      <c r="AT147" s="576"/>
      <c r="AU147" s="576"/>
      <c r="AV147" s="576"/>
      <c r="AW147" s="576"/>
      <c r="AX147" s="576"/>
      <c r="AY147" s="576"/>
      <c r="AZ147" s="576"/>
      <c r="BA147" s="576"/>
      <c r="BB147" s="576"/>
      <c r="BC147" s="576"/>
      <c r="BD147" s="576"/>
      <c r="BE147" s="576"/>
      <c r="BF147" s="576"/>
      <c r="BG147" s="576"/>
      <c r="BH147" s="576"/>
      <c r="BI147" s="576"/>
      <c r="BJ147" s="576"/>
      <c r="BK147" s="576"/>
      <c r="BL147" s="576"/>
      <c r="BM147" s="576"/>
    </row>
    <row r="148" s="577" customFormat="1" ht="14.1" customHeight="1" outlineLevel="2" spans="1:65">
      <c r="A148" s="591"/>
      <c r="B148" s="598" t="s">
        <v>1006</v>
      </c>
      <c r="C148" s="599" t="s">
        <v>791</v>
      </c>
      <c r="D148" s="712" t="s">
        <v>1007</v>
      </c>
      <c r="E148" s="712"/>
      <c r="F148" s="601"/>
      <c r="G148" s="601"/>
      <c r="H148" s="601"/>
      <c r="I148" s="601"/>
      <c r="J148" s="601"/>
      <c r="K148" s="601"/>
      <c r="L148" s="601"/>
      <c r="M148" s="601"/>
      <c r="N148" s="646"/>
      <c r="O148" s="635"/>
      <c r="P148" s="636"/>
      <c r="Q148" s="667"/>
      <c r="R148" s="668"/>
      <c r="S148" s="669"/>
      <c r="T148" s="669"/>
      <c r="U148" s="669"/>
      <c r="V148" s="669"/>
      <c r="W148" s="667"/>
      <c r="X148" s="669"/>
      <c r="Y148" s="669"/>
      <c r="Z148" s="671"/>
      <c r="AA148" s="695"/>
      <c r="AB148" s="576"/>
      <c r="AC148" s="576"/>
      <c r="AD148" s="576"/>
      <c r="AE148" s="576"/>
      <c r="AF148" s="576"/>
      <c r="AG148" s="576"/>
      <c r="AH148" s="576"/>
      <c r="AI148" s="576"/>
      <c r="AJ148" s="576"/>
      <c r="AK148" s="576"/>
      <c r="AL148" s="576"/>
      <c r="AM148" s="576"/>
      <c r="AN148" s="576"/>
      <c r="AO148" s="576"/>
      <c r="AP148" s="576"/>
      <c r="AQ148" s="576"/>
      <c r="AR148" s="576"/>
      <c r="AS148" s="576"/>
      <c r="AT148" s="576"/>
      <c r="AU148" s="576"/>
      <c r="AV148" s="576"/>
      <c r="AW148" s="576"/>
      <c r="AX148" s="576"/>
      <c r="AY148" s="576"/>
      <c r="AZ148" s="576"/>
      <c r="BA148" s="576"/>
      <c r="BB148" s="576"/>
      <c r="BC148" s="576"/>
      <c r="BD148" s="576"/>
      <c r="BE148" s="576"/>
      <c r="BF148" s="576"/>
      <c r="BG148" s="576"/>
      <c r="BH148" s="576"/>
      <c r="BI148" s="576"/>
      <c r="BJ148" s="576"/>
      <c r="BK148" s="576"/>
      <c r="BL148" s="576"/>
      <c r="BM148" s="576"/>
    </row>
    <row r="149" s="576" customFormat="1" ht="16.5" customHeight="1" outlineLevel="1" spans="1:27">
      <c r="A149" s="591"/>
      <c r="B149" s="608" t="s">
        <v>562</v>
      </c>
      <c r="C149" s="596">
        <v>3</v>
      </c>
      <c r="D149" s="609" t="s">
        <v>563</v>
      </c>
      <c r="E149" s="609"/>
      <c r="F149" s="185"/>
      <c r="G149" s="185"/>
      <c r="H149" s="185"/>
      <c r="I149" s="185"/>
      <c r="J149" s="185"/>
      <c r="K149" s="185"/>
      <c r="L149" s="185"/>
      <c r="M149" s="185"/>
      <c r="N149" s="632"/>
      <c r="O149" s="632"/>
      <c r="P149" s="633"/>
      <c r="Q149" s="738"/>
      <c r="R149" s="739"/>
      <c r="S149" s="740"/>
      <c r="T149" s="740"/>
      <c r="U149" s="740"/>
      <c r="V149" s="740"/>
      <c r="W149" s="738"/>
      <c r="X149" s="740"/>
      <c r="Y149" s="740"/>
      <c r="Z149" s="751"/>
      <c r="AA149" s="694"/>
    </row>
    <row r="150" s="577" customFormat="1" ht="14.1" customHeight="1" outlineLevel="2" spans="1:65">
      <c r="A150" s="591"/>
      <c r="B150" s="598" t="s">
        <v>1008</v>
      </c>
      <c r="C150" s="599" t="s">
        <v>619</v>
      </c>
      <c r="D150" s="712" t="s">
        <v>1009</v>
      </c>
      <c r="E150" s="712"/>
      <c r="F150" s="601"/>
      <c r="G150" s="601"/>
      <c r="H150" s="601"/>
      <c r="I150" s="601"/>
      <c r="J150" s="601"/>
      <c r="K150" s="601"/>
      <c r="L150" s="601"/>
      <c r="M150" s="601"/>
      <c r="N150" s="646"/>
      <c r="O150" s="635"/>
      <c r="P150" s="636"/>
      <c r="Q150" s="667"/>
      <c r="R150" s="668"/>
      <c r="S150" s="669"/>
      <c r="T150" s="669"/>
      <c r="U150" s="669"/>
      <c r="V150" s="669"/>
      <c r="W150" s="667"/>
      <c r="X150" s="669"/>
      <c r="Y150" s="669"/>
      <c r="Z150" s="671"/>
      <c r="AA150" s="695"/>
      <c r="AB150" s="576"/>
      <c r="AC150" s="576"/>
      <c r="AD150" s="576"/>
      <c r="AE150" s="576"/>
      <c r="AF150" s="576"/>
      <c r="AG150" s="576"/>
      <c r="AH150" s="576"/>
      <c r="AI150" s="576"/>
      <c r="AJ150" s="576"/>
      <c r="AK150" s="576"/>
      <c r="AL150" s="576"/>
      <c r="AM150" s="576"/>
      <c r="AN150" s="576"/>
      <c r="AO150" s="576"/>
      <c r="AP150" s="576"/>
      <c r="AQ150" s="576"/>
      <c r="AR150" s="576"/>
      <c r="AS150" s="576"/>
      <c r="AT150" s="576"/>
      <c r="AU150" s="576"/>
      <c r="AV150" s="576"/>
      <c r="AW150" s="576"/>
      <c r="AX150" s="576"/>
      <c r="AY150" s="576"/>
      <c r="AZ150" s="576"/>
      <c r="BA150" s="576"/>
      <c r="BB150" s="576"/>
      <c r="BC150" s="576"/>
      <c r="BD150" s="576"/>
      <c r="BE150" s="576"/>
      <c r="BF150" s="576"/>
      <c r="BG150" s="576"/>
      <c r="BH150" s="576"/>
      <c r="BI150" s="576"/>
      <c r="BJ150" s="576"/>
      <c r="BK150" s="576"/>
      <c r="BL150" s="576"/>
      <c r="BM150" s="576"/>
    </row>
    <row r="151" s="579" customFormat="1" ht="16.5" customHeight="1" outlineLevel="3" spans="1:65">
      <c r="A151" s="757"/>
      <c r="B151" s="598" t="s">
        <v>1010</v>
      </c>
      <c r="C151" s="599" t="s">
        <v>622</v>
      </c>
      <c r="D151" s="758" t="s">
        <v>1515</v>
      </c>
      <c r="E151" s="758"/>
      <c r="F151" s="706"/>
      <c r="G151" s="706"/>
      <c r="H151" s="706"/>
      <c r="I151" s="706"/>
      <c r="J151" s="706"/>
      <c r="K151" s="706"/>
      <c r="L151" s="706"/>
      <c r="M151" s="706"/>
      <c r="N151" s="719"/>
      <c r="O151" s="719"/>
      <c r="P151" s="720"/>
      <c r="Q151" s="732"/>
      <c r="R151" s="733"/>
      <c r="S151" s="734"/>
      <c r="T151" s="734"/>
      <c r="U151" s="734"/>
      <c r="V151" s="734"/>
      <c r="W151" s="732"/>
      <c r="X151" s="734"/>
      <c r="Y151" s="734"/>
      <c r="Z151" s="747"/>
      <c r="AA151" s="748"/>
      <c r="AB151" s="782"/>
      <c r="AC151" s="782"/>
      <c r="AD151" s="782"/>
      <c r="AE151" s="782"/>
      <c r="AF151" s="782"/>
      <c r="AG151" s="782"/>
      <c r="AH151" s="782"/>
      <c r="AI151" s="782"/>
      <c r="AJ151" s="782"/>
      <c r="AK151" s="782"/>
      <c r="AL151" s="782"/>
      <c r="AM151" s="782"/>
      <c r="AN151" s="782"/>
      <c r="AO151" s="782"/>
      <c r="AP151" s="782"/>
      <c r="AQ151" s="782"/>
      <c r="AR151" s="782"/>
      <c r="AS151" s="782"/>
      <c r="AT151" s="782"/>
      <c r="AU151" s="782"/>
      <c r="AV151" s="782"/>
      <c r="AW151" s="782"/>
      <c r="AX151" s="782"/>
      <c r="AY151" s="782"/>
      <c r="AZ151" s="782"/>
      <c r="BA151" s="782"/>
      <c r="BB151" s="782"/>
      <c r="BC151" s="782"/>
      <c r="BD151" s="782"/>
      <c r="BE151" s="782"/>
      <c r="BF151" s="782"/>
      <c r="BG151" s="782"/>
      <c r="BH151" s="782"/>
      <c r="BI151" s="782"/>
      <c r="BJ151" s="782"/>
      <c r="BK151" s="782"/>
      <c r="BL151" s="782"/>
      <c r="BM151" s="782"/>
    </row>
    <row r="152" s="579" customFormat="1" ht="16.5" customHeight="1" outlineLevel="3" spans="1:65">
      <c r="A152" s="757"/>
      <c r="B152" s="598" t="s">
        <v>1012</v>
      </c>
      <c r="C152" s="599" t="s">
        <v>622</v>
      </c>
      <c r="D152" s="758" t="s">
        <v>1516</v>
      </c>
      <c r="E152" s="758"/>
      <c r="F152" s="706"/>
      <c r="G152" s="706"/>
      <c r="H152" s="706"/>
      <c r="I152" s="706"/>
      <c r="J152" s="706"/>
      <c r="K152" s="706"/>
      <c r="L152" s="706"/>
      <c r="M152" s="706"/>
      <c r="N152" s="719"/>
      <c r="O152" s="719"/>
      <c r="P152" s="720"/>
      <c r="Q152" s="732"/>
      <c r="R152" s="733"/>
      <c r="S152" s="734"/>
      <c r="T152" s="734"/>
      <c r="U152" s="734"/>
      <c r="V152" s="734"/>
      <c r="W152" s="732"/>
      <c r="X152" s="734"/>
      <c r="Y152" s="734"/>
      <c r="Z152" s="747"/>
      <c r="AA152" s="748"/>
      <c r="AB152" s="782"/>
      <c r="AC152" s="782"/>
      <c r="AD152" s="782"/>
      <c r="AE152" s="782"/>
      <c r="AF152" s="782"/>
      <c r="AG152" s="782"/>
      <c r="AH152" s="782"/>
      <c r="AI152" s="782"/>
      <c r="AJ152" s="782"/>
      <c r="AK152" s="782"/>
      <c r="AL152" s="782"/>
      <c r="AM152" s="782"/>
      <c r="AN152" s="782"/>
      <c r="AO152" s="782"/>
      <c r="AP152" s="782"/>
      <c r="AQ152" s="782"/>
      <c r="AR152" s="782"/>
      <c r="AS152" s="782"/>
      <c r="AT152" s="782"/>
      <c r="AU152" s="782"/>
      <c r="AV152" s="782"/>
      <c r="AW152" s="782"/>
      <c r="AX152" s="782"/>
      <c r="AY152" s="782"/>
      <c r="AZ152" s="782"/>
      <c r="BA152" s="782"/>
      <c r="BB152" s="782"/>
      <c r="BC152" s="782"/>
      <c r="BD152" s="782"/>
      <c r="BE152" s="782"/>
      <c r="BF152" s="782"/>
      <c r="BG152" s="782"/>
      <c r="BH152" s="782"/>
      <c r="BI152" s="782"/>
      <c r="BJ152" s="782"/>
      <c r="BK152" s="782"/>
      <c r="BL152" s="782"/>
      <c r="BM152" s="782"/>
    </row>
    <row r="153" s="579" customFormat="1" ht="16.5" customHeight="1" outlineLevel="3" spans="1:65">
      <c r="A153" s="757"/>
      <c r="B153" s="598" t="s">
        <v>1016</v>
      </c>
      <c r="C153" s="599" t="s">
        <v>622</v>
      </c>
      <c r="D153" s="758" t="s">
        <v>1017</v>
      </c>
      <c r="E153" s="758"/>
      <c r="F153" s="706"/>
      <c r="G153" s="706"/>
      <c r="H153" s="706"/>
      <c r="I153" s="706"/>
      <c r="J153" s="706"/>
      <c r="K153" s="706"/>
      <c r="L153" s="706"/>
      <c r="M153" s="706"/>
      <c r="N153" s="719"/>
      <c r="O153" s="719"/>
      <c r="P153" s="720"/>
      <c r="Q153" s="732"/>
      <c r="R153" s="733"/>
      <c r="S153" s="734"/>
      <c r="T153" s="734"/>
      <c r="U153" s="734"/>
      <c r="V153" s="734"/>
      <c r="W153" s="732"/>
      <c r="X153" s="734"/>
      <c r="Y153" s="734"/>
      <c r="Z153" s="747"/>
      <c r="AA153" s="748"/>
      <c r="AB153" s="782"/>
      <c r="AC153" s="782"/>
      <c r="AD153" s="782"/>
      <c r="AE153" s="782"/>
      <c r="AF153" s="782"/>
      <c r="AG153" s="782"/>
      <c r="AH153" s="782"/>
      <c r="AI153" s="782"/>
      <c r="AJ153" s="782"/>
      <c r="AK153" s="782"/>
      <c r="AL153" s="782"/>
      <c r="AM153" s="782"/>
      <c r="AN153" s="782"/>
      <c r="AO153" s="782"/>
      <c r="AP153" s="782"/>
      <c r="AQ153" s="782"/>
      <c r="AR153" s="782"/>
      <c r="AS153" s="782"/>
      <c r="AT153" s="782"/>
      <c r="AU153" s="782"/>
      <c r="AV153" s="782"/>
      <c r="AW153" s="782"/>
      <c r="AX153" s="782"/>
      <c r="AY153" s="782"/>
      <c r="AZ153" s="782"/>
      <c r="BA153" s="782"/>
      <c r="BB153" s="782"/>
      <c r="BC153" s="782"/>
      <c r="BD153" s="782"/>
      <c r="BE153" s="782"/>
      <c r="BF153" s="782"/>
      <c r="BG153" s="782"/>
      <c r="BH153" s="782"/>
      <c r="BI153" s="782"/>
      <c r="BJ153" s="782"/>
      <c r="BK153" s="782"/>
      <c r="BL153" s="782"/>
      <c r="BM153" s="782"/>
    </row>
    <row r="154" s="579" customFormat="1" ht="16.5" customHeight="1" outlineLevel="3" spans="1:65">
      <c r="A154" s="757"/>
      <c r="B154" s="598" t="s">
        <v>1018</v>
      </c>
      <c r="C154" s="599" t="s">
        <v>622</v>
      </c>
      <c r="D154" s="758" t="s">
        <v>1019</v>
      </c>
      <c r="E154" s="758"/>
      <c r="F154" s="706"/>
      <c r="G154" s="706"/>
      <c r="H154" s="706"/>
      <c r="I154" s="706"/>
      <c r="J154" s="706"/>
      <c r="K154" s="706"/>
      <c r="L154" s="706"/>
      <c r="M154" s="706"/>
      <c r="N154" s="719"/>
      <c r="O154" s="719"/>
      <c r="P154" s="720"/>
      <c r="Q154" s="732"/>
      <c r="R154" s="733"/>
      <c r="S154" s="734"/>
      <c r="T154" s="734"/>
      <c r="U154" s="734"/>
      <c r="V154" s="734"/>
      <c r="W154" s="732"/>
      <c r="X154" s="734"/>
      <c r="Y154" s="734"/>
      <c r="Z154" s="747"/>
      <c r="AA154" s="748"/>
      <c r="AB154" s="782"/>
      <c r="AC154" s="782"/>
      <c r="AD154" s="782"/>
      <c r="AE154" s="782"/>
      <c r="AF154" s="782"/>
      <c r="AG154" s="782"/>
      <c r="AH154" s="782"/>
      <c r="AI154" s="782"/>
      <c r="AJ154" s="782"/>
      <c r="AK154" s="782"/>
      <c r="AL154" s="782"/>
      <c r="AM154" s="782"/>
      <c r="AN154" s="782"/>
      <c r="AO154" s="782"/>
      <c r="AP154" s="782"/>
      <c r="AQ154" s="782"/>
      <c r="AR154" s="782"/>
      <c r="AS154" s="782"/>
      <c r="AT154" s="782"/>
      <c r="AU154" s="782"/>
      <c r="AV154" s="782"/>
      <c r="AW154" s="782"/>
      <c r="AX154" s="782"/>
      <c r="AY154" s="782"/>
      <c r="AZ154" s="782"/>
      <c r="BA154" s="782"/>
      <c r="BB154" s="782"/>
      <c r="BC154" s="782"/>
      <c r="BD154" s="782"/>
      <c r="BE154" s="782"/>
      <c r="BF154" s="782"/>
      <c r="BG154" s="782"/>
      <c r="BH154" s="782"/>
      <c r="BI154" s="782"/>
      <c r="BJ154" s="782"/>
      <c r="BK154" s="782"/>
      <c r="BL154" s="782"/>
      <c r="BM154" s="782"/>
    </row>
    <row r="155" s="577" customFormat="1" ht="14.1" customHeight="1" outlineLevel="2" spans="1:65">
      <c r="A155" s="591"/>
      <c r="B155" s="598" t="s">
        <v>1020</v>
      </c>
      <c r="C155" s="599" t="s">
        <v>657</v>
      </c>
      <c r="D155" s="712" t="s">
        <v>1022</v>
      </c>
      <c r="E155" s="712"/>
      <c r="F155" s="601"/>
      <c r="G155" s="601"/>
      <c r="H155" s="601"/>
      <c r="I155" s="601"/>
      <c r="J155" s="601"/>
      <c r="K155" s="601"/>
      <c r="L155" s="601"/>
      <c r="M155" s="601"/>
      <c r="N155" s="646"/>
      <c r="O155" s="635"/>
      <c r="P155" s="636"/>
      <c r="Q155" s="667"/>
      <c r="R155" s="668"/>
      <c r="S155" s="669"/>
      <c r="T155" s="669"/>
      <c r="U155" s="669"/>
      <c r="V155" s="669"/>
      <c r="W155" s="667"/>
      <c r="X155" s="669"/>
      <c r="Y155" s="669"/>
      <c r="Z155" s="671"/>
      <c r="AA155" s="695"/>
      <c r="AB155" s="576"/>
      <c r="AC155" s="576"/>
      <c r="AD155" s="576"/>
      <c r="AE155" s="576"/>
      <c r="AF155" s="576"/>
      <c r="AG155" s="576"/>
      <c r="AH155" s="576"/>
      <c r="AI155" s="576"/>
      <c r="AJ155" s="576"/>
      <c r="AK155" s="576"/>
      <c r="AL155" s="576"/>
      <c r="AM155" s="576"/>
      <c r="AN155" s="576"/>
      <c r="AO155" s="576"/>
      <c r="AP155" s="576"/>
      <c r="AQ155" s="576"/>
      <c r="AR155" s="576"/>
      <c r="AS155" s="576"/>
      <c r="AT155" s="576"/>
      <c r="AU155" s="576"/>
      <c r="AV155" s="576"/>
      <c r="AW155" s="576"/>
      <c r="AX155" s="576"/>
      <c r="AY155" s="576"/>
      <c r="AZ155" s="576"/>
      <c r="BA155" s="576"/>
      <c r="BB155" s="576"/>
      <c r="BC155" s="576"/>
      <c r="BD155" s="576"/>
      <c r="BE155" s="576"/>
      <c r="BF155" s="576"/>
      <c r="BG155" s="576"/>
      <c r="BH155" s="576"/>
      <c r="BI155" s="576"/>
      <c r="BJ155" s="576"/>
      <c r="BK155" s="576"/>
      <c r="BL155" s="576"/>
      <c r="BM155" s="576"/>
    </row>
    <row r="156" s="577" customFormat="1" ht="14.1" customHeight="1" outlineLevel="3" spans="1:65">
      <c r="A156" s="591"/>
      <c r="B156" s="598" t="s">
        <v>1023</v>
      </c>
      <c r="C156" s="599" t="s">
        <v>622</v>
      </c>
      <c r="D156" s="712" t="s">
        <v>1024</v>
      </c>
      <c r="E156" s="712"/>
      <c r="F156" s="601"/>
      <c r="G156" s="601"/>
      <c r="H156" s="601"/>
      <c r="I156" s="601"/>
      <c r="J156" s="601"/>
      <c r="K156" s="601"/>
      <c r="L156" s="601"/>
      <c r="M156" s="601"/>
      <c r="N156" s="646"/>
      <c r="O156" s="635"/>
      <c r="P156" s="636"/>
      <c r="Q156" s="667"/>
      <c r="R156" s="668"/>
      <c r="S156" s="669"/>
      <c r="T156" s="669"/>
      <c r="U156" s="669"/>
      <c r="V156" s="669"/>
      <c r="W156" s="667"/>
      <c r="X156" s="669"/>
      <c r="Y156" s="669"/>
      <c r="Z156" s="671"/>
      <c r="AA156" s="695"/>
      <c r="AB156" s="576"/>
      <c r="AC156" s="576"/>
      <c r="AD156" s="576"/>
      <c r="AE156" s="576"/>
      <c r="AF156" s="576"/>
      <c r="AG156" s="576"/>
      <c r="AH156" s="576"/>
      <c r="AI156" s="576"/>
      <c r="AJ156" s="576"/>
      <c r="AK156" s="576"/>
      <c r="AL156" s="576"/>
      <c r="AM156" s="576"/>
      <c r="AN156" s="576"/>
      <c r="AO156" s="576"/>
      <c r="AP156" s="576"/>
      <c r="AQ156" s="576"/>
      <c r="AR156" s="576"/>
      <c r="AS156" s="576"/>
      <c r="AT156" s="576"/>
      <c r="AU156" s="576"/>
      <c r="AV156" s="576"/>
      <c r="AW156" s="576"/>
      <c r="AX156" s="576"/>
      <c r="AY156" s="576"/>
      <c r="AZ156" s="576"/>
      <c r="BA156" s="576"/>
      <c r="BB156" s="576"/>
      <c r="BC156" s="576"/>
      <c r="BD156" s="576"/>
      <c r="BE156" s="576"/>
      <c r="BF156" s="576"/>
      <c r="BG156" s="576"/>
      <c r="BH156" s="576"/>
      <c r="BI156" s="576"/>
      <c r="BJ156" s="576"/>
      <c r="BK156" s="576"/>
      <c r="BL156" s="576"/>
      <c r="BM156" s="576"/>
    </row>
    <row r="157" s="577" customFormat="1" ht="14.1" customHeight="1" outlineLevel="3" spans="1:65">
      <c r="A157" s="591"/>
      <c r="B157" s="598" t="s">
        <v>1026</v>
      </c>
      <c r="C157" s="599" t="s">
        <v>622</v>
      </c>
      <c r="D157" s="712" t="s">
        <v>1027</v>
      </c>
      <c r="E157" s="712"/>
      <c r="F157" s="601"/>
      <c r="G157" s="601"/>
      <c r="H157" s="601"/>
      <c r="I157" s="601"/>
      <c r="J157" s="601"/>
      <c r="K157" s="601"/>
      <c r="L157" s="601"/>
      <c r="M157" s="601"/>
      <c r="N157" s="646"/>
      <c r="O157" s="635"/>
      <c r="P157" s="636"/>
      <c r="Q157" s="667"/>
      <c r="R157" s="668"/>
      <c r="S157" s="669"/>
      <c r="T157" s="669"/>
      <c r="U157" s="669"/>
      <c r="V157" s="669"/>
      <c r="W157" s="667"/>
      <c r="X157" s="669"/>
      <c r="Y157" s="669"/>
      <c r="Z157" s="671"/>
      <c r="AA157" s="695"/>
      <c r="AB157" s="576"/>
      <c r="AC157" s="576"/>
      <c r="AD157" s="576"/>
      <c r="AE157" s="576"/>
      <c r="AF157" s="576"/>
      <c r="AG157" s="576"/>
      <c r="AH157" s="576"/>
      <c r="AI157" s="576"/>
      <c r="AJ157" s="576"/>
      <c r="AK157" s="576"/>
      <c r="AL157" s="576"/>
      <c r="AM157" s="576"/>
      <c r="AN157" s="576"/>
      <c r="AO157" s="576"/>
      <c r="AP157" s="576"/>
      <c r="AQ157" s="576"/>
      <c r="AR157" s="576"/>
      <c r="AS157" s="576"/>
      <c r="AT157" s="576"/>
      <c r="AU157" s="576"/>
      <c r="AV157" s="576"/>
      <c r="AW157" s="576"/>
      <c r="AX157" s="576"/>
      <c r="AY157" s="576"/>
      <c r="AZ157" s="576"/>
      <c r="BA157" s="576"/>
      <c r="BB157" s="576"/>
      <c r="BC157" s="576"/>
      <c r="BD157" s="576"/>
      <c r="BE157" s="576"/>
      <c r="BF157" s="576"/>
      <c r="BG157" s="576"/>
      <c r="BH157" s="576"/>
      <c r="BI157" s="576"/>
      <c r="BJ157" s="576"/>
      <c r="BK157" s="576"/>
      <c r="BL157" s="576"/>
      <c r="BM157" s="576"/>
    </row>
    <row r="158" s="577" customFormat="1" ht="14.1" customHeight="1" outlineLevel="3" spans="1:65">
      <c r="A158" s="591"/>
      <c r="B158" s="598" t="s">
        <v>1029</v>
      </c>
      <c r="C158" s="599" t="s">
        <v>622</v>
      </c>
      <c r="D158" s="712" t="s">
        <v>1030</v>
      </c>
      <c r="E158" s="712"/>
      <c r="F158" s="601"/>
      <c r="G158" s="601"/>
      <c r="H158" s="601"/>
      <c r="I158" s="601"/>
      <c r="J158" s="601"/>
      <c r="K158" s="601"/>
      <c r="L158" s="601"/>
      <c r="M158" s="601"/>
      <c r="N158" s="646"/>
      <c r="O158" s="635"/>
      <c r="P158" s="636"/>
      <c r="Q158" s="667"/>
      <c r="R158" s="668"/>
      <c r="S158" s="669"/>
      <c r="T158" s="669"/>
      <c r="U158" s="669"/>
      <c r="V158" s="669"/>
      <c r="W158" s="667"/>
      <c r="X158" s="669"/>
      <c r="Y158" s="669"/>
      <c r="Z158" s="671"/>
      <c r="AA158" s="695"/>
      <c r="AB158" s="576"/>
      <c r="AC158" s="576"/>
      <c r="AD158" s="576"/>
      <c r="AE158" s="576"/>
      <c r="AF158" s="576"/>
      <c r="AG158" s="576"/>
      <c r="AH158" s="576"/>
      <c r="AI158" s="576"/>
      <c r="AJ158" s="576"/>
      <c r="AK158" s="576"/>
      <c r="AL158" s="576"/>
      <c r="AM158" s="576"/>
      <c r="AN158" s="576"/>
      <c r="AO158" s="576"/>
      <c r="AP158" s="576"/>
      <c r="AQ158" s="576"/>
      <c r="AR158" s="576"/>
      <c r="AS158" s="576"/>
      <c r="AT158" s="576"/>
      <c r="AU158" s="576"/>
      <c r="AV158" s="576"/>
      <c r="AW158" s="576"/>
      <c r="AX158" s="576"/>
      <c r="AY158" s="576"/>
      <c r="AZ158" s="576"/>
      <c r="BA158" s="576"/>
      <c r="BB158" s="576"/>
      <c r="BC158" s="576"/>
      <c r="BD158" s="576"/>
      <c r="BE158" s="576"/>
      <c r="BF158" s="576"/>
      <c r="BG158" s="576"/>
      <c r="BH158" s="576"/>
      <c r="BI158" s="576"/>
      <c r="BJ158" s="576"/>
      <c r="BK158" s="576"/>
      <c r="BL158" s="576"/>
      <c r="BM158" s="576"/>
    </row>
    <row r="159" s="577" customFormat="1" ht="14.1" customHeight="1" outlineLevel="2" spans="1:65">
      <c r="A159" s="591"/>
      <c r="B159" s="598" t="s">
        <v>1031</v>
      </c>
      <c r="C159" s="599" t="s">
        <v>762</v>
      </c>
      <c r="D159" s="712" t="s">
        <v>1033</v>
      </c>
      <c r="E159" s="712"/>
      <c r="F159" s="601"/>
      <c r="G159" s="601"/>
      <c r="H159" s="601"/>
      <c r="I159" s="601"/>
      <c r="J159" s="601"/>
      <c r="K159" s="601"/>
      <c r="L159" s="601"/>
      <c r="M159" s="601"/>
      <c r="N159" s="646"/>
      <c r="O159" s="635"/>
      <c r="P159" s="636"/>
      <c r="Q159" s="667"/>
      <c r="R159" s="668"/>
      <c r="S159" s="669"/>
      <c r="T159" s="669"/>
      <c r="U159" s="669"/>
      <c r="V159" s="669"/>
      <c r="W159" s="667"/>
      <c r="X159" s="669"/>
      <c r="Y159" s="669"/>
      <c r="Z159" s="671"/>
      <c r="AA159" s="695"/>
      <c r="AB159" s="576"/>
      <c r="AC159" s="576"/>
      <c r="AD159" s="576"/>
      <c r="AE159" s="576"/>
      <c r="AF159" s="576"/>
      <c r="AG159" s="576"/>
      <c r="AH159" s="576"/>
      <c r="AI159" s="576"/>
      <c r="AJ159" s="576"/>
      <c r="AK159" s="576"/>
      <c r="AL159" s="576"/>
      <c r="AM159" s="576"/>
      <c r="AN159" s="576"/>
      <c r="AO159" s="576"/>
      <c r="AP159" s="576"/>
      <c r="AQ159" s="576"/>
      <c r="AR159" s="576"/>
      <c r="AS159" s="576"/>
      <c r="AT159" s="576"/>
      <c r="AU159" s="576"/>
      <c r="AV159" s="576"/>
      <c r="AW159" s="576"/>
      <c r="AX159" s="576"/>
      <c r="AY159" s="576"/>
      <c r="AZ159" s="576"/>
      <c r="BA159" s="576"/>
      <c r="BB159" s="576"/>
      <c r="BC159" s="576"/>
      <c r="BD159" s="576"/>
      <c r="BE159" s="576"/>
      <c r="BF159" s="576"/>
      <c r="BG159" s="576"/>
      <c r="BH159" s="576"/>
      <c r="BI159" s="576"/>
      <c r="BJ159" s="576"/>
      <c r="BK159" s="576"/>
      <c r="BL159" s="576"/>
      <c r="BM159" s="576"/>
    </row>
    <row r="160" s="577" customFormat="1" ht="14.1" customHeight="1" outlineLevel="3" spans="1:65">
      <c r="A160" s="591"/>
      <c r="B160" s="598" t="s">
        <v>1034</v>
      </c>
      <c r="C160" s="599" t="s">
        <v>622</v>
      </c>
      <c r="D160" s="712" t="s">
        <v>1035</v>
      </c>
      <c r="E160" s="712"/>
      <c r="F160" s="601"/>
      <c r="G160" s="601"/>
      <c r="H160" s="601"/>
      <c r="I160" s="601"/>
      <c r="J160" s="601"/>
      <c r="K160" s="601"/>
      <c r="L160" s="601"/>
      <c r="M160" s="601"/>
      <c r="N160" s="646"/>
      <c r="O160" s="635"/>
      <c r="P160" s="636"/>
      <c r="Q160" s="667"/>
      <c r="R160" s="668"/>
      <c r="S160" s="669"/>
      <c r="T160" s="669"/>
      <c r="U160" s="669"/>
      <c r="V160" s="669"/>
      <c r="W160" s="667"/>
      <c r="X160" s="669"/>
      <c r="Y160" s="669"/>
      <c r="Z160" s="671"/>
      <c r="AA160" s="695"/>
      <c r="AB160" s="576"/>
      <c r="AC160" s="576"/>
      <c r="AD160" s="576"/>
      <c r="AE160" s="576"/>
      <c r="AF160" s="576"/>
      <c r="AG160" s="576"/>
      <c r="AH160" s="576"/>
      <c r="AI160" s="576"/>
      <c r="AJ160" s="576"/>
      <c r="AK160" s="576"/>
      <c r="AL160" s="576"/>
      <c r="AM160" s="576"/>
      <c r="AN160" s="576"/>
      <c r="AO160" s="576"/>
      <c r="AP160" s="576"/>
      <c r="AQ160" s="576"/>
      <c r="AR160" s="576"/>
      <c r="AS160" s="576"/>
      <c r="AT160" s="576"/>
      <c r="AU160" s="576"/>
      <c r="AV160" s="576"/>
      <c r="AW160" s="576"/>
      <c r="AX160" s="576"/>
      <c r="AY160" s="576"/>
      <c r="AZ160" s="576"/>
      <c r="BA160" s="576"/>
      <c r="BB160" s="576"/>
      <c r="BC160" s="576"/>
      <c r="BD160" s="576"/>
      <c r="BE160" s="576"/>
      <c r="BF160" s="576"/>
      <c r="BG160" s="576"/>
      <c r="BH160" s="576"/>
      <c r="BI160" s="576"/>
      <c r="BJ160" s="576"/>
      <c r="BK160" s="576"/>
      <c r="BL160" s="576"/>
      <c r="BM160" s="576"/>
    </row>
    <row r="161" s="577" customFormat="1" ht="14.1" customHeight="1" outlineLevel="3" spans="1:65">
      <c r="A161" s="591"/>
      <c r="B161" s="598" t="s">
        <v>1036</v>
      </c>
      <c r="C161" s="599" t="s">
        <v>622</v>
      </c>
      <c r="D161" s="712" t="s">
        <v>1037</v>
      </c>
      <c r="E161" s="712"/>
      <c r="F161" s="601"/>
      <c r="G161" s="601"/>
      <c r="H161" s="601"/>
      <c r="I161" s="601"/>
      <c r="J161" s="601"/>
      <c r="K161" s="601"/>
      <c r="L161" s="601"/>
      <c r="M161" s="601"/>
      <c r="N161" s="646"/>
      <c r="O161" s="635"/>
      <c r="P161" s="636"/>
      <c r="Q161" s="667"/>
      <c r="R161" s="668"/>
      <c r="S161" s="669"/>
      <c r="T161" s="669"/>
      <c r="U161" s="669"/>
      <c r="V161" s="669"/>
      <c r="W161" s="667"/>
      <c r="X161" s="669"/>
      <c r="Y161" s="669"/>
      <c r="Z161" s="671"/>
      <c r="AA161" s="695"/>
      <c r="AB161" s="576"/>
      <c r="AC161" s="576"/>
      <c r="AD161" s="576"/>
      <c r="AE161" s="576"/>
      <c r="AF161" s="576"/>
      <c r="AG161" s="576"/>
      <c r="AH161" s="576"/>
      <c r="AI161" s="576"/>
      <c r="AJ161" s="576"/>
      <c r="AK161" s="576"/>
      <c r="AL161" s="576"/>
      <c r="AM161" s="576"/>
      <c r="AN161" s="576"/>
      <c r="AO161" s="576"/>
      <c r="AP161" s="576"/>
      <c r="AQ161" s="576"/>
      <c r="AR161" s="576"/>
      <c r="AS161" s="576"/>
      <c r="AT161" s="576"/>
      <c r="AU161" s="576"/>
      <c r="AV161" s="576"/>
      <c r="AW161" s="576"/>
      <c r="AX161" s="576"/>
      <c r="AY161" s="576"/>
      <c r="AZ161" s="576"/>
      <c r="BA161" s="576"/>
      <c r="BB161" s="576"/>
      <c r="BC161" s="576"/>
      <c r="BD161" s="576"/>
      <c r="BE161" s="576"/>
      <c r="BF161" s="576"/>
      <c r="BG161" s="576"/>
      <c r="BH161" s="576"/>
      <c r="BI161" s="576"/>
      <c r="BJ161" s="576"/>
      <c r="BK161" s="576"/>
      <c r="BL161" s="576"/>
      <c r="BM161" s="576"/>
    </row>
    <row r="162" s="577" customFormat="1" ht="14.1" customHeight="1" outlineLevel="3" spans="1:65">
      <c r="A162" s="591"/>
      <c r="B162" s="598" t="s">
        <v>1038</v>
      </c>
      <c r="C162" s="599" t="s">
        <v>622</v>
      </c>
      <c r="D162" s="712" t="s">
        <v>1039</v>
      </c>
      <c r="E162" s="712"/>
      <c r="F162" s="601"/>
      <c r="G162" s="601"/>
      <c r="H162" s="601"/>
      <c r="I162" s="601"/>
      <c r="J162" s="601"/>
      <c r="K162" s="601"/>
      <c r="L162" s="601"/>
      <c r="M162" s="601"/>
      <c r="N162" s="646"/>
      <c r="O162" s="635"/>
      <c r="P162" s="636"/>
      <c r="Q162" s="667"/>
      <c r="R162" s="668"/>
      <c r="S162" s="669"/>
      <c r="T162" s="669"/>
      <c r="U162" s="669"/>
      <c r="V162" s="669"/>
      <c r="W162" s="667"/>
      <c r="X162" s="669"/>
      <c r="Y162" s="669"/>
      <c r="Z162" s="671"/>
      <c r="AA162" s="695"/>
      <c r="AB162" s="576"/>
      <c r="AC162" s="576"/>
      <c r="AD162" s="576"/>
      <c r="AE162" s="576"/>
      <c r="AF162" s="576"/>
      <c r="AG162" s="576"/>
      <c r="AH162" s="576"/>
      <c r="AI162" s="576"/>
      <c r="AJ162" s="576"/>
      <c r="AK162" s="576"/>
      <c r="AL162" s="576"/>
      <c r="AM162" s="576"/>
      <c r="AN162" s="576"/>
      <c r="AO162" s="576"/>
      <c r="AP162" s="576"/>
      <c r="AQ162" s="576"/>
      <c r="AR162" s="576"/>
      <c r="AS162" s="576"/>
      <c r="AT162" s="576"/>
      <c r="AU162" s="576"/>
      <c r="AV162" s="576"/>
      <c r="AW162" s="576"/>
      <c r="AX162" s="576"/>
      <c r="AY162" s="576"/>
      <c r="AZ162" s="576"/>
      <c r="BA162" s="576"/>
      <c r="BB162" s="576"/>
      <c r="BC162" s="576"/>
      <c r="BD162" s="576"/>
      <c r="BE162" s="576"/>
      <c r="BF162" s="576"/>
      <c r="BG162" s="576"/>
      <c r="BH162" s="576"/>
      <c r="BI162" s="576"/>
      <c r="BJ162" s="576"/>
      <c r="BK162" s="576"/>
      <c r="BL162" s="576"/>
      <c r="BM162" s="576"/>
    </row>
    <row r="163" s="577" customFormat="1" ht="14.1" customHeight="1" outlineLevel="3" spans="1:65">
      <c r="A163" s="591"/>
      <c r="B163" s="598" t="s">
        <v>1040</v>
      </c>
      <c r="C163" s="599" t="s">
        <v>622</v>
      </c>
      <c r="D163" s="712" t="s">
        <v>1041</v>
      </c>
      <c r="E163" s="712"/>
      <c r="F163" s="601"/>
      <c r="G163" s="601"/>
      <c r="H163" s="601"/>
      <c r="I163" s="601"/>
      <c r="J163" s="601"/>
      <c r="K163" s="601"/>
      <c r="L163" s="601"/>
      <c r="M163" s="601"/>
      <c r="N163" s="646"/>
      <c r="O163" s="635"/>
      <c r="P163" s="636"/>
      <c r="Q163" s="667"/>
      <c r="R163" s="668"/>
      <c r="S163" s="669"/>
      <c r="T163" s="669"/>
      <c r="U163" s="669"/>
      <c r="V163" s="669"/>
      <c r="W163" s="667"/>
      <c r="X163" s="669"/>
      <c r="Y163" s="669"/>
      <c r="Z163" s="671"/>
      <c r="AA163" s="695"/>
      <c r="AB163" s="576"/>
      <c r="AC163" s="576"/>
      <c r="AD163" s="576"/>
      <c r="AE163" s="576"/>
      <c r="AF163" s="576"/>
      <c r="AG163" s="576"/>
      <c r="AH163" s="576"/>
      <c r="AI163" s="576"/>
      <c r="AJ163" s="576"/>
      <c r="AK163" s="576"/>
      <c r="AL163" s="576"/>
      <c r="AM163" s="576"/>
      <c r="AN163" s="576"/>
      <c r="AO163" s="576"/>
      <c r="AP163" s="576"/>
      <c r="AQ163" s="576"/>
      <c r="AR163" s="576"/>
      <c r="AS163" s="576"/>
      <c r="AT163" s="576"/>
      <c r="AU163" s="576"/>
      <c r="AV163" s="576"/>
      <c r="AW163" s="576"/>
      <c r="AX163" s="576"/>
      <c r="AY163" s="576"/>
      <c r="AZ163" s="576"/>
      <c r="BA163" s="576"/>
      <c r="BB163" s="576"/>
      <c r="BC163" s="576"/>
      <c r="BD163" s="576"/>
      <c r="BE163" s="576"/>
      <c r="BF163" s="576"/>
      <c r="BG163" s="576"/>
      <c r="BH163" s="576"/>
      <c r="BI163" s="576"/>
      <c r="BJ163" s="576"/>
      <c r="BK163" s="576"/>
      <c r="BL163" s="576"/>
      <c r="BM163" s="576"/>
    </row>
    <row r="164" s="577" customFormat="1" ht="14.1" customHeight="1" outlineLevel="3" spans="1:65">
      <c r="A164" s="591"/>
      <c r="B164" s="598" t="s">
        <v>1042</v>
      </c>
      <c r="C164" s="599" t="s">
        <v>622</v>
      </c>
      <c r="D164" s="712" t="s">
        <v>1043</v>
      </c>
      <c r="E164" s="712"/>
      <c r="F164" s="601"/>
      <c r="G164" s="601"/>
      <c r="H164" s="601"/>
      <c r="I164" s="601"/>
      <c r="J164" s="601"/>
      <c r="K164" s="601"/>
      <c r="L164" s="601"/>
      <c r="M164" s="601"/>
      <c r="N164" s="646"/>
      <c r="O164" s="635"/>
      <c r="P164" s="636"/>
      <c r="Q164" s="667"/>
      <c r="R164" s="668"/>
      <c r="S164" s="669"/>
      <c r="T164" s="669"/>
      <c r="U164" s="669"/>
      <c r="V164" s="669"/>
      <c r="W164" s="667"/>
      <c r="X164" s="669"/>
      <c r="Y164" s="669"/>
      <c r="Z164" s="671"/>
      <c r="AA164" s="695"/>
      <c r="AB164" s="576"/>
      <c r="AC164" s="576"/>
      <c r="AD164" s="576"/>
      <c r="AE164" s="576"/>
      <c r="AF164" s="576"/>
      <c r="AG164" s="576"/>
      <c r="AH164" s="576"/>
      <c r="AI164" s="576"/>
      <c r="AJ164" s="576"/>
      <c r="AK164" s="576"/>
      <c r="AL164" s="576"/>
      <c r="AM164" s="576"/>
      <c r="AN164" s="576"/>
      <c r="AO164" s="576"/>
      <c r="AP164" s="576"/>
      <c r="AQ164" s="576"/>
      <c r="AR164" s="576"/>
      <c r="AS164" s="576"/>
      <c r="AT164" s="576"/>
      <c r="AU164" s="576"/>
      <c r="AV164" s="576"/>
      <c r="AW164" s="576"/>
      <c r="AX164" s="576"/>
      <c r="AY164" s="576"/>
      <c r="AZ164" s="576"/>
      <c r="BA164" s="576"/>
      <c r="BB164" s="576"/>
      <c r="BC164" s="576"/>
      <c r="BD164" s="576"/>
      <c r="BE164" s="576"/>
      <c r="BF164" s="576"/>
      <c r="BG164" s="576"/>
      <c r="BH164" s="576"/>
      <c r="BI164" s="576"/>
      <c r="BJ164" s="576"/>
      <c r="BK164" s="576"/>
      <c r="BL164" s="576"/>
      <c r="BM164" s="576"/>
    </row>
    <row r="165" s="577" customFormat="1" ht="14.1" customHeight="1" outlineLevel="3" spans="1:65">
      <c r="A165" s="591"/>
      <c r="B165" s="598" t="s">
        <v>1044</v>
      </c>
      <c r="C165" s="599" t="s">
        <v>622</v>
      </c>
      <c r="D165" s="712" t="s">
        <v>1045</v>
      </c>
      <c r="E165" s="712"/>
      <c r="F165" s="601"/>
      <c r="G165" s="601"/>
      <c r="H165" s="601"/>
      <c r="I165" s="601"/>
      <c r="J165" s="601"/>
      <c r="K165" s="601"/>
      <c r="L165" s="601"/>
      <c r="M165" s="601"/>
      <c r="N165" s="646"/>
      <c r="O165" s="635"/>
      <c r="P165" s="636"/>
      <c r="Q165" s="667"/>
      <c r="R165" s="668"/>
      <c r="S165" s="669"/>
      <c r="T165" s="669"/>
      <c r="U165" s="669"/>
      <c r="V165" s="669"/>
      <c r="W165" s="667"/>
      <c r="X165" s="669"/>
      <c r="Y165" s="669"/>
      <c r="Z165" s="671"/>
      <c r="AA165" s="695"/>
      <c r="AB165" s="576"/>
      <c r="AC165" s="576"/>
      <c r="AD165" s="576"/>
      <c r="AE165" s="576"/>
      <c r="AF165" s="576"/>
      <c r="AG165" s="576"/>
      <c r="AH165" s="576"/>
      <c r="AI165" s="576"/>
      <c r="AJ165" s="576"/>
      <c r="AK165" s="576"/>
      <c r="AL165" s="576"/>
      <c r="AM165" s="576"/>
      <c r="AN165" s="576"/>
      <c r="AO165" s="576"/>
      <c r="AP165" s="576"/>
      <c r="AQ165" s="576"/>
      <c r="AR165" s="576"/>
      <c r="AS165" s="576"/>
      <c r="AT165" s="576"/>
      <c r="AU165" s="576"/>
      <c r="AV165" s="576"/>
      <c r="AW165" s="576"/>
      <c r="AX165" s="576"/>
      <c r="AY165" s="576"/>
      <c r="AZ165" s="576"/>
      <c r="BA165" s="576"/>
      <c r="BB165" s="576"/>
      <c r="BC165" s="576"/>
      <c r="BD165" s="576"/>
      <c r="BE165" s="576"/>
      <c r="BF165" s="576"/>
      <c r="BG165" s="576"/>
      <c r="BH165" s="576"/>
      <c r="BI165" s="576"/>
      <c r="BJ165" s="576"/>
      <c r="BK165" s="576"/>
      <c r="BL165" s="576"/>
      <c r="BM165" s="576"/>
    </row>
    <row r="166" s="577" customFormat="1" ht="14.1" customHeight="1" outlineLevel="3" spans="1:65">
      <c r="A166" s="591"/>
      <c r="B166" s="598" t="s">
        <v>1046</v>
      </c>
      <c r="C166" s="599" t="s">
        <v>622</v>
      </c>
      <c r="D166" s="712" t="s">
        <v>1047</v>
      </c>
      <c r="E166" s="712"/>
      <c r="F166" s="601"/>
      <c r="G166" s="601"/>
      <c r="H166" s="601"/>
      <c r="I166" s="601"/>
      <c r="J166" s="601"/>
      <c r="K166" s="601"/>
      <c r="L166" s="601"/>
      <c r="M166" s="601"/>
      <c r="N166" s="646"/>
      <c r="O166" s="635"/>
      <c r="P166" s="636"/>
      <c r="Q166" s="667"/>
      <c r="R166" s="668"/>
      <c r="S166" s="669"/>
      <c r="T166" s="669"/>
      <c r="U166" s="669"/>
      <c r="V166" s="669"/>
      <c r="W166" s="667"/>
      <c r="X166" s="669"/>
      <c r="Y166" s="669"/>
      <c r="Z166" s="671"/>
      <c r="AA166" s="695"/>
      <c r="AB166" s="576"/>
      <c r="AC166" s="576"/>
      <c r="AD166" s="576"/>
      <c r="AE166" s="576"/>
      <c r="AF166" s="576"/>
      <c r="AG166" s="576"/>
      <c r="AH166" s="576"/>
      <c r="AI166" s="576"/>
      <c r="AJ166" s="576"/>
      <c r="AK166" s="576"/>
      <c r="AL166" s="576"/>
      <c r="AM166" s="576"/>
      <c r="AN166" s="576"/>
      <c r="AO166" s="576"/>
      <c r="AP166" s="576"/>
      <c r="AQ166" s="576"/>
      <c r="AR166" s="576"/>
      <c r="AS166" s="576"/>
      <c r="AT166" s="576"/>
      <c r="AU166" s="576"/>
      <c r="AV166" s="576"/>
      <c r="AW166" s="576"/>
      <c r="AX166" s="576"/>
      <c r="AY166" s="576"/>
      <c r="AZ166" s="576"/>
      <c r="BA166" s="576"/>
      <c r="BB166" s="576"/>
      <c r="BC166" s="576"/>
      <c r="BD166" s="576"/>
      <c r="BE166" s="576"/>
      <c r="BF166" s="576"/>
      <c r="BG166" s="576"/>
      <c r="BH166" s="576"/>
      <c r="BI166" s="576"/>
      <c r="BJ166" s="576"/>
      <c r="BK166" s="576"/>
      <c r="BL166" s="576"/>
      <c r="BM166" s="576"/>
    </row>
    <row r="167" s="577" customFormat="1" ht="14.1" customHeight="1" outlineLevel="3" spans="1:65">
      <c r="A167" s="591"/>
      <c r="B167" s="598" t="s">
        <v>1048</v>
      </c>
      <c r="C167" s="599" t="s">
        <v>622</v>
      </c>
      <c r="D167" s="712" t="s">
        <v>1049</v>
      </c>
      <c r="E167" s="712"/>
      <c r="F167" s="601"/>
      <c r="G167" s="601"/>
      <c r="H167" s="601"/>
      <c r="I167" s="601"/>
      <c r="J167" s="601"/>
      <c r="K167" s="601"/>
      <c r="L167" s="601"/>
      <c r="M167" s="601"/>
      <c r="N167" s="646"/>
      <c r="O167" s="635"/>
      <c r="P167" s="636"/>
      <c r="Q167" s="667"/>
      <c r="R167" s="668"/>
      <c r="S167" s="669"/>
      <c r="T167" s="669"/>
      <c r="U167" s="669"/>
      <c r="V167" s="669"/>
      <c r="W167" s="667"/>
      <c r="X167" s="669"/>
      <c r="Y167" s="669"/>
      <c r="Z167" s="671"/>
      <c r="AA167" s="695"/>
      <c r="AB167" s="576"/>
      <c r="AC167" s="576"/>
      <c r="AD167" s="576"/>
      <c r="AE167" s="576"/>
      <c r="AF167" s="576"/>
      <c r="AG167" s="576"/>
      <c r="AH167" s="576"/>
      <c r="AI167" s="576"/>
      <c r="AJ167" s="576"/>
      <c r="AK167" s="576"/>
      <c r="AL167" s="576"/>
      <c r="AM167" s="576"/>
      <c r="AN167" s="576"/>
      <c r="AO167" s="576"/>
      <c r="AP167" s="576"/>
      <c r="AQ167" s="576"/>
      <c r="AR167" s="576"/>
      <c r="AS167" s="576"/>
      <c r="AT167" s="576"/>
      <c r="AU167" s="576"/>
      <c r="AV167" s="576"/>
      <c r="AW167" s="576"/>
      <c r="AX167" s="576"/>
      <c r="AY167" s="576"/>
      <c r="AZ167" s="576"/>
      <c r="BA167" s="576"/>
      <c r="BB167" s="576"/>
      <c r="BC167" s="576"/>
      <c r="BD167" s="576"/>
      <c r="BE167" s="576"/>
      <c r="BF167" s="576"/>
      <c r="BG167" s="576"/>
      <c r="BH167" s="576"/>
      <c r="BI167" s="576"/>
      <c r="BJ167" s="576"/>
      <c r="BK167" s="576"/>
      <c r="BL167" s="576"/>
      <c r="BM167" s="576"/>
    </row>
    <row r="168" s="577" customFormat="1" ht="14.1" customHeight="1" outlineLevel="2" spans="1:65">
      <c r="A168" s="591"/>
      <c r="B168" s="598" t="s">
        <v>1050</v>
      </c>
      <c r="C168" s="599" t="s">
        <v>778</v>
      </c>
      <c r="D168" s="712" t="s">
        <v>1052</v>
      </c>
      <c r="E168" s="712"/>
      <c r="F168" s="601"/>
      <c r="G168" s="601"/>
      <c r="H168" s="601"/>
      <c r="I168" s="601"/>
      <c r="J168" s="601"/>
      <c r="K168" s="601"/>
      <c r="L168" s="601"/>
      <c r="M168" s="601"/>
      <c r="N168" s="646"/>
      <c r="O168" s="635"/>
      <c r="P168" s="636"/>
      <c r="Q168" s="667"/>
      <c r="R168" s="668"/>
      <c r="S168" s="669"/>
      <c r="T168" s="669"/>
      <c r="U168" s="669"/>
      <c r="V168" s="669"/>
      <c r="W168" s="667"/>
      <c r="X168" s="669"/>
      <c r="Y168" s="669"/>
      <c r="Z168" s="671"/>
      <c r="AA168" s="695"/>
      <c r="AB168" s="576"/>
      <c r="AC168" s="576"/>
      <c r="AD168" s="576"/>
      <c r="AE168" s="576"/>
      <c r="AF168" s="576"/>
      <c r="AG168" s="576"/>
      <c r="AH168" s="576"/>
      <c r="AI168" s="576"/>
      <c r="AJ168" s="576"/>
      <c r="AK168" s="576"/>
      <c r="AL168" s="576"/>
      <c r="AM168" s="576"/>
      <c r="AN168" s="576"/>
      <c r="AO168" s="576"/>
      <c r="AP168" s="576"/>
      <c r="AQ168" s="576"/>
      <c r="AR168" s="576"/>
      <c r="AS168" s="576"/>
      <c r="AT168" s="576"/>
      <c r="AU168" s="576"/>
      <c r="AV168" s="576"/>
      <c r="AW168" s="576"/>
      <c r="AX168" s="576"/>
      <c r="AY168" s="576"/>
      <c r="AZ168" s="576"/>
      <c r="BA168" s="576"/>
      <c r="BB168" s="576"/>
      <c r="BC168" s="576"/>
      <c r="BD168" s="576"/>
      <c r="BE168" s="576"/>
      <c r="BF168" s="576"/>
      <c r="BG168" s="576"/>
      <c r="BH168" s="576"/>
      <c r="BI168" s="576"/>
      <c r="BJ168" s="576"/>
      <c r="BK168" s="576"/>
      <c r="BL168" s="576"/>
      <c r="BM168" s="576"/>
    </row>
    <row r="169" s="579" customFormat="1" ht="16.5" customHeight="1" outlineLevel="3" spans="1:65">
      <c r="A169" s="757"/>
      <c r="B169" s="598" t="s">
        <v>1053</v>
      </c>
      <c r="C169" s="599" t="s">
        <v>622</v>
      </c>
      <c r="D169" s="758" t="s">
        <v>1054</v>
      </c>
      <c r="E169" s="758"/>
      <c r="F169" s="706"/>
      <c r="G169" s="706"/>
      <c r="H169" s="706"/>
      <c r="I169" s="706"/>
      <c r="J169" s="706"/>
      <c r="K169" s="706"/>
      <c r="L169" s="706"/>
      <c r="M169" s="706"/>
      <c r="N169" s="719"/>
      <c r="O169" s="719"/>
      <c r="P169" s="720"/>
      <c r="Q169" s="732"/>
      <c r="R169" s="733"/>
      <c r="S169" s="734"/>
      <c r="T169" s="734"/>
      <c r="U169" s="734"/>
      <c r="V169" s="734"/>
      <c r="W169" s="732"/>
      <c r="X169" s="734"/>
      <c r="Y169" s="734"/>
      <c r="Z169" s="747"/>
      <c r="AA169" s="748"/>
      <c r="AB169" s="782"/>
      <c r="AC169" s="782"/>
      <c r="AD169" s="782"/>
      <c r="AE169" s="782"/>
      <c r="AF169" s="782"/>
      <c r="AG169" s="782"/>
      <c r="AH169" s="782"/>
      <c r="AI169" s="782"/>
      <c r="AJ169" s="782"/>
      <c r="AK169" s="782"/>
      <c r="AL169" s="782"/>
      <c r="AM169" s="782"/>
      <c r="AN169" s="782"/>
      <c r="AO169" s="782"/>
      <c r="AP169" s="782"/>
      <c r="AQ169" s="782"/>
      <c r="AR169" s="782"/>
      <c r="AS169" s="782"/>
      <c r="AT169" s="782"/>
      <c r="AU169" s="782"/>
      <c r="AV169" s="782"/>
      <c r="AW169" s="782"/>
      <c r="AX169" s="782"/>
      <c r="AY169" s="782"/>
      <c r="AZ169" s="782"/>
      <c r="BA169" s="782"/>
      <c r="BB169" s="782"/>
      <c r="BC169" s="782"/>
      <c r="BD169" s="782"/>
      <c r="BE169" s="782"/>
      <c r="BF169" s="782"/>
      <c r="BG169" s="782"/>
      <c r="BH169" s="782"/>
      <c r="BI169" s="782"/>
      <c r="BJ169" s="782"/>
      <c r="BK169" s="782"/>
      <c r="BL169" s="782"/>
      <c r="BM169" s="782"/>
    </row>
    <row r="170" s="579" customFormat="1" ht="16.5" customHeight="1" outlineLevel="3" spans="1:65">
      <c r="A170" s="757"/>
      <c r="B170" s="598" t="s">
        <v>1055</v>
      </c>
      <c r="C170" s="599" t="s">
        <v>622</v>
      </c>
      <c r="D170" s="758" t="s">
        <v>1056</v>
      </c>
      <c r="E170" s="758"/>
      <c r="F170" s="706"/>
      <c r="G170" s="706"/>
      <c r="H170" s="706"/>
      <c r="I170" s="706"/>
      <c r="J170" s="706"/>
      <c r="K170" s="706"/>
      <c r="L170" s="706"/>
      <c r="M170" s="706"/>
      <c r="N170" s="719"/>
      <c r="O170" s="719"/>
      <c r="P170" s="720"/>
      <c r="Q170" s="732"/>
      <c r="R170" s="733"/>
      <c r="S170" s="734"/>
      <c r="T170" s="734"/>
      <c r="U170" s="734"/>
      <c r="V170" s="734"/>
      <c r="W170" s="732"/>
      <c r="X170" s="734"/>
      <c r="Y170" s="734"/>
      <c r="Z170" s="747"/>
      <c r="AA170" s="748"/>
      <c r="AB170" s="782"/>
      <c r="AC170" s="782"/>
      <c r="AD170" s="782"/>
      <c r="AE170" s="782"/>
      <c r="AF170" s="782"/>
      <c r="AG170" s="782"/>
      <c r="AH170" s="782"/>
      <c r="AI170" s="782"/>
      <c r="AJ170" s="782"/>
      <c r="AK170" s="782"/>
      <c r="AL170" s="782"/>
      <c r="AM170" s="782"/>
      <c r="AN170" s="782"/>
      <c r="AO170" s="782"/>
      <c r="AP170" s="782"/>
      <c r="AQ170" s="782"/>
      <c r="AR170" s="782"/>
      <c r="AS170" s="782"/>
      <c r="AT170" s="782"/>
      <c r="AU170" s="782"/>
      <c r="AV170" s="782"/>
      <c r="AW170" s="782"/>
      <c r="AX170" s="782"/>
      <c r="AY170" s="782"/>
      <c r="AZ170" s="782"/>
      <c r="BA170" s="782"/>
      <c r="BB170" s="782"/>
      <c r="BC170" s="782"/>
      <c r="BD170" s="782"/>
      <c r="BE170" s="782"/>
      <c r="BF170" s="782"/>
      <c r="BG170" s="782"/>
      <c r="BH170" s="782"/>
      <c r="BI170" s="782"/>
      <c r="BJ170" s="782"/>
      <c r="BK170" s="782"/>
      <c r="BL170" s="782"/>
      <c r="BM170" s="782"/>
    </row>
    <row r="171" s="577" customFormat="1" ht="14.1" customHeight="1" outlineLevel="2" spans="1:65">
      <c r="A171" s="591"/>
      <c r="B171" s="598" t="s">
        <v>1058</v>
      </c>
      <c r="C171" s="599" t="s">
        <v>781</v>
      </c>
      <c r="D171" s="712" t="s">
        <v>1060</v>
      </c>
      <c r="E171" s="712"/>
      <c r="F171" s="601"/>
      <c r="G171" s="601"/>
      <c r="H171" s="601"/>
      <c r="I171" s="601"/>
      <c r="J171" s="601"/>
      <c r="K171" s="601"/>
      <c r="L171" s="601"/>
      <c r="M171" s="601"/>
      <c r="N171" s="646"/>
      <c r="O171" s="635"/>
      <c r="P171" s="636"/>
      <c r="Q171" s="667"/>
      <c r="R171" s="668"/>
      <c r="S171" s="669"/>
      <c r="T171" s="669"/>
      <c r="U171" s="669"/>
      <c r="V171" s="669"/>
      <c r="W171" s="667"/>
      <c r="X171" s="669"/>
      <c r="Y171" s="669"/>
      <c r="Z171" s="671"/>
      <c r="AA171" s="695"/>
      <c r="AB171" s="576"/>
      <c r="AC171" s="576"/>
      <c r="AD171" s="576"/>
      <c r="AE171" s="576"/>
      <c r="AF171" s="576"/>
      <c r="AG171" s="576"/>
      <c r="AH171" s="576"/>
      <c r="AI171" s="576"/>
      <c r="AJ171" s="576"/>
      <c r="AK171" s="576"/>
      <c r="AL171" s="576"/>
      <c r="AM171" s="576"/>
      <c r="AN171" s="576"/>
      <c r="AO171" s="576"/>
      <c r="AP171" s="576"/>
      <c r="AQ171" s="576"/>
      <c r="AR171" s="576"/>
      <c r="AS171" s="576"/>
      <c r="AT171" s="576"/>
      <c r="AU171" s="576"/>
      <c r="AV171" s="576"/>
      <c r="AW171" s="576"/>
      <c r="AX171" s="576"/>
      <c r="AY171" s="576"/>
      <c r="AZ171" s="576"/>
      <c r="BA171" s="576"/>
      <c r="BB171" s="576"/>
      <c r="BC171" s="576"/>
      <c r="BD171" s="576"/>
      <c r="BE171" s="576"/>
      <c r="BF171" s="576"/>
      <c r="BG171" s="576"/>
      <c r="BH171" s="576"/>
      <c r="BI171" s="576"/>
      <c r="BJ171" s="576"/>
      <c r="BK171" s="576"/>
      <c r="BL171" s="576"/>
      <c r="BM171" s="576"/>
    </row>
    <row r="172" s="579" customFormat="1" ht="16.5" customHeight="1" outlineLevel="3" spans="1:65">
      <c r="A172" s="757"/>
      <c r="B172" s="598" t="s">
        <v>1061</v>
      </c>
      <c r="C172" s="599" t="s">
        <v>622</v>
      </c>
      <c r="D172" s="758" t="s">
        <v>1062</v>
      </c>
      <c r="E172" s="758"/>
      <c r="F172" s="706"/>
      <c r="G172" s="706"/>
      <c r="H172" s="706"/>
      <c r="I172" s="706"/>
      <c r="J172" s="706"/>
      <c r="K172" s="706"/>
      <c r="L172" s="706"/>
      <c r="M172" s="706"/>
      <c r="N172" s="719"/>
      <c r="O172" s="719"/>
      <c r="P172" s="720"/>
      <c r="Q172" s="732"/>
      <c r="R172" s="733"/>
      <c r="S172" s="734"/>
      <c r="T172" s="734"/>
      <c r="U172" s="734"/>
      <c r="V172" s="734"/>
      <c r="W172" s="732"/>
      <c r="X172" s="734"/>
      <c r="Y172" s="734"/>
      <c r="Z172" s="747"/>
      <c r="AA172" s="748"/>
      <c r="AB172" s="782"/>
      <c r="AC172" s="782"/>
      <c r="AD172" s="782"/>
      <c r="AE172" s="782"/>
      <c r="AF172" s="782"/>
      <c r="AG172" s="782"/>
      <c r="AH172" s="782"/>
      <c r="AI172" s="782"/>
      <c r="AJ172" s="782"/>
      <c r="AK172" s="782"/>
      <c r="AL172" s="782"/>
      <c r="AM172" s="782"/>
      <c r="AN172" s="782"/>
      <c r="AO172" s="782"/>
      <c r="AP172" s="782"/>
      <c r="AQ172" s="782"/>
      <c r="AR172" s="782"/>
      <c r="AS172" s="782"/>
      <c r="AT172" s="782"/>
      <c r="AU172" s="782"/>
      <c r="AV172" s="782"/>
      <c r="AW172" s="782"/>
      <c r="AX172" s="782"/>
      <c r="AY172" s="782"/>
      <c r="AZ172" s="782"/>
      <c r="BA172" s="782"/>
      <c r="BB172" s="782"/>
      <c r="BC172" s="782"/>
      <c r="BD172" s="782"/>
      <c r="BE172" s="782"/>
      <c r="BF172" s="782"/>
      <c r="BG172" s="782"/>
      <c r="BH172" s="782"/>
      <c r="BI172" s="782"/>
      <c r="BJ172" s="782"/>
      <c r="BK172" s="782"/>
      <c r="BL172" s="782"/>
      <c r="BM172" s="782"/>
    </row>
    <row r="173" s="579" customFormat="1" ht="16.5" customHeight="1" outlineLevel="3" spans="1:65">
      <c r="A173" s="757"/>
      <c r="B173" s="598" t="s">
        <v>1064</v>
      </c>
      <c r="C173" s="599" t="s">
        <v>622</v>
      </c>
      <c r="D173" s="758" t="s">
        <v>1065</v>
      </c>
      <c r="E173" s="758"/>
      <c r="F173" s="706"/>
      <c r="G173" s="706"/>
      <c r="H173" s="706"/>
      <c r="I173" s="706"/>
      <c r="J173" s="706"/>
      <c r="K173" s="706"/>
      <c r="L173" s="706"/>
      <c r="M173" s="706"/>
      <c r="N173" s="719"/>
      <c r="O173" s="719"/>
      <c r="P173" s="720"/>
      <c r="Q173" s="732"/>
      <c r="R173" s="733"/>
      <c r="S173" s="734"/>
      <c r="T173" s="734"/>
      <c r="U173" s="734"/>
      <c r="V173" s="734"/>
      <c r="W173" s="732"/>
      <c r="X173" s="734"/>
      <c r="Y173" s="734"/>
      <c r="Z173" s="747"/>
      <c r="AA173" s="748"/>
      <c r="AB173" s="782"/>
      <c r="AC173" s="782"/>
      <c r="AD173" s="782"/>
      <c r="AE173" s="782"/>
      <c r="AF173" s="782"/>
      <c r="AG173" s="782"/>
      <c r="AH173" s="782"/>
      <c r="AI173" s="782"/>
      <c r="AJ173" s="782"/>
      <c r="AK173" s="782"/>
      <c r="AL173" s="782"/>
      <c r="AM173" s="782"/>
      <c r="AN173" s="782"/>
      <c r="AO173" s="782"/>
      <c r="AP173" s="782"/>
      <c r="AQ173" s="782"/>
      <c r="AR173" s="782"/>
      <c r="AS173" s="782"/>
      <c r="AT173" s="782"/>
      <c r="AU173" s="782"/>
      <c r="AV173" s="782"/>
      <c r="AW173" s="782"/>
      <c r="AX173" s="782"/>
      <c r="AY173" s="782"/>
      <c r="AZ173" s="782"/>
      <c r="BA173" s="782"/>
      <c r="BB173" s="782"/>
      <c r="BC173" s="782"/>
      <c r="BD173" s="782"/>
      <c r="BE173" s="782"/>
      <c r="BF173" s="782"/>
      <c r="BG173" s="782"/>
      <c r="BH173" s="782"/>
      <c r="BI173" s="782"/>
      <c r="BJ173" s="782"/>
      <c r="BK173" s="782"/>
      <c r="BL173" s="782"/>
      <c r="BM173" s="782"/>
    </row>
    <row r="174" s="577" customFormat="1" ht="14.1" customHeight="1" outlineLevel="2" spans="1:65">
      <c r="A174" s="591"/>
      <c r="B174" s="598" t="s">
        <v>1066</v>
      </c>
      <c r="C174" s="599" t="s">
        <v>788</v>
      </c>
      <c r="D174" s="712" t="s">
        <v>1068</v>
      </c>
      <c r="E174" s="712"/>
      <c r="F174" s="601"/>
      <c r="G174" s="601"/>
      <c r="H174" s="601"/>
      <c r="I174" s="601"/>
      <c r="J174" s="601"/>
      <c r="K174" s="601"/>
      <c r="L174" s="601"/>
      <c r="M174" s="601"/>
      <c r="N174" s="646"/>
      <c r="O174" s="635"/>
      <c r="P174" s="636"/>
      <c r="Q174" s="667"/>
      <c r="R174" s="668"/>
      <c r="S174" s="669"/>
      <c r="T174" s="669"/>
      <c r="U174" s="669"/>
      <c r="V174" s="669"/>
      <c r="W174" s="667"/>
      <c r="X174" s="669"/>
      <c r="Y174" s="669"/>
      <c r="Z174" s="671"/>
      <c r="AA174" s="695"/>
      <c r="AB174" s="576"/>
      <c r="AC174" s="576"/>
      <c r="AD174" s="576"/>
      <c r="AE174" s="576"/>
      <c r="AF174" s="576"/>
      <c r="AG174" s="576"/>
      <c r="AH174" s="576"/>
      <c r="AI174" s="576"/>
      <c r="AJ174" s="576"/>
      <c r="AK174" s="576"/>
      <c r="AL174" s="576"/>
      <c r="AM174" s="576"/>
      <c r="AN174" s="576"/>
      <c r="AO174" s="576"/>
      <c r="AP174" s="576"/>
      <c r="AQ174" s="576"/>
      <c r="AR174" s="576"/>
      <c r="AS174" s="576"/>
      <c r="AT174" s="576"/>
      <c r="AU174" s="576"/>
      <c r="AV174" s="576"/>
      <c r="AW174" s="576"/>
      <c r="AX174" s="576"/>
      <c r="AY174" s="576"/>
      <c r="AZ174" s="576"/>
      <c r="BA174" s="576"/>
      <c r="BB174" s="576"/>
      <c r="BC174" s="576"/>
      <c r="BD174" s="576"/>
      <c r="BE174" s="576"/>
      <c r="BF174" s="576"/>
      <c r="BG174" s="576"/>
      <c r="BH174" s="576"/>
      <c r="BI174" s="576"/>
      <c r="BJ174" s="576"/>
      <c r="BK174" s="576"/>
      <c r="BL174" s="576"/>
      <c r="BM174" s="576"/>
    </row>
    <row r="175" s="577" customFormat="1" ht="14.1" customHeight="1" outlineLevel="3" spans="1:65">
      <c r="A175" s="591"/>
      <c r="B175" s="598" t="s">
        <v>1069</v>
      </c>
      <c r="C175" s="599" t="s">
        <v>622</v>
      </c>
      <c r="D175" s="712" t="s">
        <v>1070</v>
      </c>
      <c r="E175" s="712"/>
      <c r="F175" s="601"/>
      <c r="G175" s="601"/>
      <c r="H175" s="601"/>
      <c r="I175" s="601"/>
      <c r="J175" s="601"/>
      <c r="K175" s="601"/>
      <c r="L175" s="601"/>
      <c r="M175" s="601"/>
      <c r="N175" s="646"/>
      <c r="O175" s="635"/>
      <c r="P175" s="636"/>
      <c r="Q175" s="667"/>
      <c r="R175" s="668"/>
      <c r="S175" s="669"/>
      <c r="T175" s="669"/>
      <c r="U175" s="669"/>
      <c r="V175" s="669"/>
      <c r="W175" s="667"/>
      <c r="X175" s="669"/>
      <c r="Y175" s="669"/>
      <c r="Z175" s="671"/>
      <c r="AA175" s="695"/>
      <c r="AB175" s="576"/>
      <c r="AC175" s="576"/>
      <c r="AD175" s="576"/>
      <c r="AE175" s="576"/>
      <c r="AF175" s="576"/>
      <c r="AG175" s="576"/>
      <c r="AH175" s="576"/>
      <c r="AI175" s="576"/>
      <c r="AJ175" s="576"/>
      <c r="AK175" s="576"/>
      <c r="AL175" s="576"/>
      <c r="AM175" s="576"/>
      <c r="AN175" s="576"/>
      <c r="AO175" s="576"/>
      <c r="AP175" s="576"/>
      <c r="AQ175" s="576"/>
      <c r="AR175" s="576"/>
      <c r="AS175" s="576"/>
      <c r="AT175" s="576"/>
      <c r="AU175" s="576"/>
      <c r="AV175" s="576"/>
      <c r="AW175" s="576"/>
      <c r="AX175" s="576"/>
      <c r="AY175" s="576"/>
      <c r="AZ175" s="576"/>
      <c r="BA175" s="576"/>
      <c r="BB175" s="576"/>
      <c r="BC175" s="576"/>
      <c r="BD175" s="576"/>
      <c r="BE175" s="576"/>
      <c r="BF175" s="576"/>
      <c r="BG175" s="576"/>
      <c r="BH175" s="576"/>
      <c r="BI175" s="576"/>
      <c r="BJ175" s="576"/>
      <c r="BK175" s="576"/>
      <c r="BL175" s="576"/>
      <c r="BM175" s="576"/>
    </row>
    <row r="176" s="577" customFormat="1" ht="14.1" customHeight="1" outlineLevel="3" spans="1:65">
      <c r="A176" s="591"/>
      <c r="B176" s="598" t="s">
        <v>1071</v>
      </c>
      <c r="C176" s="599" t="s">
        <v>622</v>
      </c>
      <c r="D176" s="712" t="s">
        <v>1072</v>
      </c>
      <c r="E176" s="712"/>
      <c r="F176" s="601"/>
      <c r="G176" s="601"/>
      <c r="H176" s="601"/>
      <c r="I176" s="601"/>
      <c r="J176" s="601"/>
      <c r="K176" s="601"/>
      <c r="L176" s="601"/>
      <c r="M176" s="601"/>
      <c r="N176" s="646"/>
      <c r="O176" s="635"/>
      <c r="P176" s="636"/>
      <c r="Q176" s="667"/>
      <c r="R176" s="668"/>
      <c r="S176" s="669"/>
      <c r="T176" s="669"/>
      <c r="U176" s="669"/>
      <c r="V176" s="669"/>
      <c r="W176" s="667"/>
      <c r="X176" s="669"/>
      <c r="Y176" s="669"/>
      <c r="Z176" s="671"/>
      <c r="AA176" s="695"/>
      <c r="AB176" s="576"/>
      <c r="AC176" s="576"/>
      <c r="AD176" s="576"/>
      <c r="AE176" s="576"/>
      <c r="AF176" s="576"/>
      <c r="AG176" s="576"/>
      <c r="AH176" s="576"/>
      <c r="AI176" s="576"/>
      <c r="AJ176" s="576"/>
      <c r="AK176" s="576"/>
      <c r="AL176" s="576"/>
      <c r="AM176" s="576"/>
      <c r="AN176" s="576"/>
      <c r="AO176" s="576"/>
      <c r="AP176" s="576"/>
      <c r="AQ176" s="576"/>
      <c r="AR176" s="576"/>
      <c r="AS176" s="576"/>
      <c r="AT176" s="576"/>
      <c r="AU176" s="576"/>
      <c r="AV176" s="576"/>
      <c r="AW176" s="576"/>
      <c r="AX176" s="576"/>
      <c r="AY176" s="576"/>
      <c r="AZ176" s="576"/>
      <c r="BA176" s="576"/>
      <c r="BB176" s="576"/>
      <c r="BC176" s="576"/>
      <c r="BD176" s="576"/>
      <c r="BE176" s="576"/>
      <c r="BF176" s="576"/>
      <c r="BG176" s="576"/>
      <c r="BH176" s="576"/>
      <c r="BI176" s="576"/>
      <c r="BJ176" s="576"/>
      <c r="BK176" s="576"/>
      <c r="BL176" s="576"/>
      <c r="BM176" s="576"/>
    </row>
    <row r="177" s="577" customFormat="1" ht="14.1" customHeight="1" outlineLevel="3" spans="1:65">
      <c r="A177" s="591"/>
      <c r="B177" s="598" t="s">
        <v>1074</v>
      </c>
      <c r="C177" s="599" t="s">
        <v>622</v>
      </c>
      <c r="D177" s="712" t="s">
        <v>1075</v>
      </c>
      <c r="E177" s="712"/>
      <c r="F177" s="601"/>
      <c r="G177" s="601"/>
      <c r="H177" s="601"/>
      <c r="I177" s="601"/>
      <c r="J177" s="601"/>
      <c r="K177" s="601"/>
      <c r="L177" s="601"/>
      <c r="M177" s="601"/>
      <c r="N177" s="646"/>
      <c r="O177" s="635"/>
      <c r="P177" s="636"/>
      <c r="Q177" s="667"/>
      <c r="R177" s="668"/>
      <c r="S177" s="669"/>
      <c r="T177" s="669"/>
      <c r="U177" s="669"/>
      <c r="V177" s="669"/>
      <c r="W177" s="667"/>
      <c r="X177" s="669"/>
      <c r="Y177" s="669"/>
      <c r="Z177" s="671"/>
      <c r="AA177" s="695"/>
      <c r="AB177" s="576"/>
      <c r="AC177" s="576"/>
      <c r="AD177" s="576"/>
      <c r="AE177" s="576"/>
      <c r="AF177" s="576"/>
      <c r="AG177" s="576"/>
      <c r="AH177" s="576"/>
      <c r="AI177" s="576"/>
      <c r="AJ177" s="576"/>
      <c r="AK177" s="576"/>
      <c r="AL177" s="576"/>
      <c r="AM177" s="576"/>
      <c r="AN177" s="576"/>
      <c r="AO177" s="576"/>
      <c r="AP177" s="576"/>
      <c r="AQ177" s="576"/>
      <c r="AR177" s="576"/>
      <c r="AS177" s="576"/>
      <c r="AT177" s="576"/>
      <c r="AU177" s="576"/>
      <c r="AV177" s="576"/>
      <c r="AW177" s="576"/>
      <c r="AX177" s="576"/>
      <c r="AY177" s="576"/>
      <c r="AZ177" s="576"/>
      <c r="BA177" s="576"/>
      <c r="BB177" s="576"/>
      <c r="BC177" s="576"/>
      <c r="BD177" s="576"/>
      <c r="BE177" s="576"/>
      <c r="BF177" s="576"/>
      <c r="BG177" s="576"/>
      <c r="BH177" s="576"/>
      <c r="BI177" s="576"/>
      <c r="BJ177" s="576"/>
      <c r="BK177" s="576"/>
      <c r="BL177" s="576"/>
      <c r="BM177" s="576"/>
    </row>
    <row r="178" s="577" customFormat="1" ht="14.1" customHeight="1" outlineLevel="3" spans="1:65">
      <c r="A178" s="591"/>
      <c r="B178" s="598" t="s">
        <v>1517</v>
      </c>
      <c r="C178" s="599" t="s">
        <v>622</v>
      </c>
      <c r="D178" s="712" t="s">
        <v>1518</v>
      </c>
      <c r="E178" s="712"/>
      <c r="F178" s="601"/>
      <c r="G178" s="601"/>
      <c r="H178" s="601"/>
      <c r="I178" s="601"/>
      <c r="J178" s="601"/>
      <c r="K178" s="601"/>
      <c r="L178" s="601"/>
      <c r="M178" s="601"/>
      <c r="N178" s="646"/>
      <c r="O178" s="635"/>
      <c r="P178" s="636"/>
      <c r="Q178" s="667"/>
      <c r="R178" s="668"/>
      <c r="S178" s="669"/>
      <c r="T178" s="669"/>
      <c r="U178" s="669"/>
      <c r="V178" s="669"/>
      <c r="W178" s="667"/>
      <c r="X178" s="669"/>
      <c r="Y178" s="669"/>
      <c r="Z178" s="671"/>
      <c r="AA178" s="695"/>
      <c r="AB178" s="576"/>
      <c r="AC178" s="576"/>
      <c r="AD178" s="576"/>
      <c r="AE178" s="576"/>
      <c r="AF178" s="576"/>
      <c r="AG178" s="576"/>
      <c r="AH178" s="576"/>
      <c r="AI178" s="576"/>
      <c r="AJ178" s="576"/>
      <c r="AK178" s="576"/>
      <c r="AL178" s="576"/>
      <c r="AM178" s="576"/>
      <c r="AN178" s="576"/>
      <c r="AO178" s="576"/>
      <c r="AP178" s="576"/>
      <c r="AQ178" s="576"/>
      <c r="AR178" s="576"/>
      <c r="AS178" s="576"/>
      <c r="AT178" s="576"/>
      <c r="AU178" s="576"/>
      <c r="AV178" s="576"/>
      <c r="AW178" s="576"/>
      <c r="AX178" s="576"/>
      <c r="AY178" s="576"/>
      <c r="AZ178" s="576"/>
      <c r="BA178" s="576"/>
      <c r="BB178" s="576"/>
      <c r="BC178" s="576"/>
      <c r="BD178" s="576"/>
      <c r="BE178" s="576"/>
      <c r="BF178" s="576"/>
      <c r="BG178" s="576"/>
      <c r="BH178" s="576"/>
      <c r="BI178" s="576"/>
      <c r="BJ178" s="576"/>
      <c r="BK178" s="576"/>
      <c r="BL178" s="576"/>
      <c r="BM178" s="576"/>
    </row>
    <row r="179" s="577" customFormat="1" ht="14.1" customHeight="1" outlineLevel="2" collapsed="1" spans="1:65">
      <c r="A179" s="591"/>
      <c r="B179" s="715" t="s">
        <v>1489</v>
      </c>
      <c r="C179" s="716"/>
      <c r="D179" s="712" t="s">
        <v>1489</v>
      </c>
      <c r="E179" s="712"/>
      <c r="F179" s="599" t="s">
        <v>1489</v>
      </c>
      <c r="G179" s="599" t="s">
        <v>1489</v>
      </c>
      <c r="H179" s="599" t="s">
        <v>1489</v>
      </c>
      <c r="I179" s="599" t="s">
        <v>1489</v>
      </c>
      <c r="J179" s="599" t="s">
        <v>1489</v>
      </c>
      <c r="K179" s="599" t="s">
        <v>1489</v>
      </c>
      <c r="L179" s="599" t="s">
        <v>1489</v>
      </c>
      <c r="M179" s="599" t="s">
        <v>1489</v>
      </c>
      <c r="N179" s="599" t="s">
        <v>1489</v>
      </c>
      <c r="O179" s="599"/>
      <c r="P179" s="730" t="s">
        <v>1489</v>
      </c>
      <c r="Q179" s="745" t="s">
        <v>1489</v>
      </c>
      <c r="R179" s="746"/>
      <c r="S179" s="599" t="s">
        <v>1489</v>
      </c>
      <c r="T179" s="599"/>
      <c r="U179" s="599" t="s">
        <v>1489</v>
      </c>
      <c r="V179" s="599" t="s">
        <v>1489</v>
      </c>
      <c r="W179" s="745" t="s">
        <v>1489</v>
      </c>
      <c r="X179" s="599" t="s">
        <v>1489</v>
      </c>
      <c r="Y179" s="599" t="s">
        <v>1489</v>
      </c>
      <c r="Z179" s="755"/>
      <c r="AA179" s="756" t="s">
        <v>1489</v>
      </c>
      <c r="AB179" s="576"/>
      <c r="AC179" s="576"/>
      <c r="AD179" s="576"/>
      <c r="AE179" s="576"/>
      <c r="AF179" s="576"/>
      <c r="AG179" s="576"/>
      <c r="AH179" s="576"/>
      <c r="AI179" s="576"/>
      <c r="AJ179" s="576"/>
      <c r="AK179" s="576"/>
      <c r="AL179" s="576"/>
      <c r="AM179" s="576"/>
      <c r="AN179" s="576"/>
      <c r="AO179" s="576"/>
      <c r="AP179" s="576"/>
      <c r="AQ179" s="576"/>
      <c r="AR179" s="576"/>
      <c r="AS179" s="576"/>
      <c r="AT179" s="576"/>
      <c r="AU179" s="576"/>
      <c r="AV179" s="576"/>
      <c r="AW179" s="576"/>
      <c r="AX179" s="576"/>
      <c r="AY179" s="576"/>
      <c r="AZ179" s="576"/>
      <c r="BA179" s="576"/>
      <c r="BB179" s="576"/>
      <c r="BC179" s="576"/>
      <c r="BD179" s="576"/>
      <c r="BE179" s="576"/>
      <c r="BF179" s="576"/>
      <c r="BG179" s="576"/>
      <c r="BH179" s="576"/>
      <c r="BI179" s="576"/>
      <c r="BJ179" s="576"/>
      <c r="BK179" s="576"/>
      <c r="BL179" s="576"/>
      <c r="BM179" s="576"/>
    </row>
    <row r="180" s="576" customFormat="1" ht="16.35" customHeight="1" spans="1:27">
      <c r="A180" s="591"/>
      <c r="B180" s="592" t="s">
        <v>1076</v>
      </c>
      <c r="C180" s="593" t="s">
        <v>565</v>
      </c>
      <c r="D180" s="468" t="s">
        <v>485</v>
      </c>
      <c r="E180" s="468"/>
      <c r="F180" s="594"/>
      <c r="G180" s="594"/>
      <c r="H180" s="594"/>
      <c r="I180" s="594"/>
      <c r="J180" s="594"/>
      <c r="K180" s="594"/>
      <c r="L180" s="768">
        <v>0</v>
      </c>
      <c r="M180" s="768">
        <v>0</v>
      </c>
      <c r="N180" s="629">
        <v>0</v>
      </c>
      <c r="O180" s="630"/>
      <c r="P180" s="631"/>
      <c r="Q180" s="676">
        <v>0</v>
      </c>
      <c r="R180" s="676">
        <v>0</v>
      </c>
      <c r="S180" s="676">
        <v>0</v>
      </c>
      <c r="T180" s="676">
        <v>0</v>
      </c>
      <c r="U180" s="676">
        <v>0</v>
      </c>
      <c r="V180" s="676">
        <v>0</v>
      </c>
      <c r="W180" s="676">
        <v>0</v>
      </c>
      <c r="X180" s="677"/>
      <c r="Y180" s="677"/>
      <c r="Z180" s="750"/>
      <c r="AA180" s="693"/>
    </row>
    <row r="181" s="580" customFormat="1" ht="17.1" customHeight="1" outlineLevel="1" spans="1:65">
      <c r="A181" s="759"/>
      <c r="B181" s="760" t="s">
        <v>566</v>
      </c>
      <c r="C181" s="761">
        <v>1</v>
      </c>
      <c r="D181" s="505" t="s">
        <v>567</v>
      </c>
      <c r="E181" s="505"/>
      <c r="F181" s="193"/>
      <c r="G181" s="762"/>
      <c r="H181" s="762"/>
      <c r="I181" s="769"/>
      <c r="J181" s="770"/>
      <c r="K181" s="770"/>
      <c r="L181" s="771">
        <v>0</v>
      </c>
      <c r="M181" s="771">
        <v>0</v>
      </c>
      <c r="N181" s="771">
        <v>0</v>
      </c>
      <c r="O181" s="545"/>
      <c r="P181" s="633" t="s">
        <v>1452</v>
      </c>
      <c r="Q181" s="778">
        <v>0</v>
      </c>
      <c r="R181" s="779">
        <v>0</v>
      </c>
      <c r="S181" s="771">
        <v>0</v>
      </c>
      <c r="T181" s="771">
        <v>0</v>
      </c>
      <c r="U181" s="771">
        <v>0</v>
      </c>
      <c r="V181" s="771">
        <v>0</v>
      </c>
      <c r="W181" s="780">
        <v>0</v>
      </c>
      <c r="X181" s="545"/>
      <c r="Y181" s="545"/>
      <c r="Z181" s="783"/>
      <c r="AA181" s="784"/>
      <c r="AB181" s="581"/>
      <c r="AC181" s="581"/>
      <c r="AD181" s="581"/>
      <c r="AE181" s="581"/>
      <c r="AF181" s="581"/>
      <c r="AG181" s="581"/>
      <c r="AH181" s="581"/>
      <c r="AI181" s="581"/>
      <c r="AJ181" s="581"/>
      <c r="AK181" s="581"/>
      <c r="AL181" s="581"/>
      <c r="AM181" s="581"/>
      <c r="AN181" s="581"/>
      <c r="AO181" s="581"/>
      <c r="AP181" s="581"/>
      <c r="AQ181" s="581"/>
      <c r="AR181" s="581"/>
      <c r="AS181" s="581"/>
      <c r="AT181" s="581"/>
      <c r="AU181" s="581"/>
      <c r="AV181" s="581"/>
      <c r="AW181" s="581"/>
      <c r="AX181" s="581"/>
      <c r="AY181" s="581"/>
      <c r="AZ181" s="581"/>
      <c r="BA181" s="581"/>
      <c r="BB181" s="581"/>
      <c r="BC181" s="581"/>
      <c r="BD181" s="581"/>
      <c r="BE181" s="581"/>
      <c r="BF181" s="581"/>
      <c r="BG181" s="581"/>
      <c r="BH181" s="581"/>
      <c r="BI181" s="581"/>
      <c r="BJ181" s="581"/>
      <c r="BK181" s="581"/>
      <c r="BL181" s="581"/>
      <c r="BM181" s="581"/>
    </row>
    <row r="182" s="580" customFormat="1" ht="17.1" customHeight="1" outlineLevel="3" spans="1:65">
      <c r="A182" s="759"/>
      <c r="B182" s="598" t="s">
        <v>1077</v>
      </c>
      <c r="C182" s="599" t="s">
        <v>619</v>
      </c>
      <c r="D182" s="763" t="s">
        <v>1079</v>
      </c>
      <c r="E182" s="370" t="s">
        <v>1080</v>
      </c>
      <c r="F182" s="370" t="s">
        <v>505</v>
      </c>
      <c r="G182" s="764">
        <v>1</v>
      </c>
      <c r="H182" s="765" t="s">
        <v>655</v>
      </c>
      <c r="I182" s="765"/>
      <c r="J182" s="772">
        <v>1.5</v>
      </c>
      <c r="K182" s="497">
        <v>0.06</v>
      </c>
      <c r="L182" s="772">
        <v>0</v>
      </c>
      <c r="M182" s="772">
        <v>0</v>
      </c>
      <c r="N182" s="773">
        <v>0</v>
      </c>
      <c r="O182" s="774"/>
      <c r="P182" s="775"/>
      <c r="Q182" s="667">
        <v>0</v>
      </c>
      <c r="R182" s="668">
        <v>0</v>
      </c>
      <c r="S182" s="669">
        <v>0</v>
      </c>
      <c r="T182" s="669">
        <v>0</v>
      </c>
      <c r="U182" s="669">
        <v>0</v>
      </c>
      <c r="V182" s="669">
        <v>0</v>
      </c>
      <c r="W182" s="781">
        <v>0</v>
      </c>
      <c r="X182" s="774"/>
      <c r="Y182" s="774"/>
      <c r="Z182" s="785"/>
      <c r="AA182" s="695"/>
      <c r="AB182" s="581"/>
      <c r="AC182" s="581"/>
      <c r="AD182" s="581"/>
      <c r="AE182" s="581"/>
      <c r="AF182" s="581"/>
      <c r="AG182" s="581"/>
      <c r="AH182" s="581"/>
      <c r="AI182" s="581"/>
      <c r="AJ182" s="581"/>
      <c r="AK182" s="581"/>
      <c r="AL182" s="581"/>
      <c r="AM182" s="581"/>
      <c r="AN182" s="581"/>
      <c r="AO182" s="581"/>
      <c r="AP182" s="581"/>
      <c r="AQ182" s="581"/>
      <c r="AR182" s="581"/>
      <c r="AS182" s="581"/>
      <c r="AT182" s="581"/>
      <c r="AU182" s="581"/>
      <c r="AV182" s="581"/>
      <c r="AW182" s="581"/>
      <c r="AX182" s="581"/>
      <c r="AY182" s="581"/>
      <c r="AZ182" s="581"/>
      <c r="BA182" s="581"/>
      <c r="BB182" s="581"/>
      <c r="BC182" s="581"/>
      <c r="BD182" s="581"/>
      <c r="BE182" s="581"/>
      <c r="BF182" s="581"/>
      <c r="BG182" s="581"/>
      <c r="BH182" s="581"/>
      <c r="BI182" s="581"/>
      <c r="BJ182" s="581"/>
      <c r="BK182" s="581"/>
      <c r="BL182" s="581"/>
      <c r="BM182" s="581"/>
    </row>
    <row r="183" s="580" customFormat="1" ht="24.6" customHeight="1" outlineLevel="3" spans="1:65">
      <c r="A183" s="759"/>
      <c r="B183" s="598" t="s">
        <v>1081</v>
      </c>
      <c r="C183" s="599" t="s">
        <v>657</v>
      </c>
      <c r="D183" s="763" t="s">
        <v>1082</v>
      </c>
      <c r="E183" s="370" t="s">
        <v>1080</v>
      </c>
      <c r="F183" s="370" t="s">
        <v>505</v>
      </c>
      <c r="G183" s="764">
        <v>1</v>
      </c>
      <c r="H183" s="765" t="s">
        <v>655</v>
      </c>
      <c r="I183" s="765"/>
      <c r="J183" s="772">
        <v>4.5</v>
      </c>
      <c r="K183" s="497">
        <v>0.06</v>
      </c>
      <c r="L183" s="772">
        <v>0</v>
      </c>
      <c r="M183" s="772">
        <v>0</v>
      </c>
      <c r="N183" s="773">
        <v>0</v>
      </c>
      <c r="O183" s="774"/>
      <c r="P183" s="775"/>
      <c r="Q183" s="667">
        <v>0</v>
      </c>
      <c r="R183" s="668">
        <v>0</v>
      </c>
      <c r="S183" s="669">
        <v>0</v>
      </c>
      <c r="T183" s="669">
        <v>0</v>
      </c>
      <c r="U183" s="669">
        <v>0</v>
      </c>
      <c r="V183" s="669">
        <v>0</v>
      </c>
      <c r="W183" s="781">
        <v>0</v>
      </c>
      <c r="X183" s="774"/>
      <c r="Y183" s="774"/>
      <c r="Z183" s="785"/>
      <c r="AA183" s="695"/>
      <c r="AB183" s="581"/>
      <c r="AC183" s="581"/>
      <c r="AD183" s="581"/>
      <c r="AE183" s="581"/>
      <c r="AF183" s="581"/>
      <c r="AG183" s="581"/>
      <c r="AH183" s="581"/>
      <c r="AI183" s="581"/>
      <c r="AJ183" s="581"/>
      <c r="AK183" s="581"/>
      <c r="AL183" s="581"/>
      <c r="AM183" s="581"/>
      <c r="AN183" s="581"/>
      <c r="AO183" s="581"/>
      <c r="AP183" s="581"/>
      <c r="AQ183" s="581"/>
      <c r="AR183" s="581"/>
      <c r="AS183" s="581"/>
      <c r="AT183" s="581"/>
      <c r="AU183" s="581"/>
      <c r="AV183" s="581"/>
      <c r="AW183" s="581"/>
      <c r="AX183" s="581"/>
      <c r="AY183" s="581"/>
      <c r="AZ183" s="581"/>
      <c r="BA183" s="581"/>
      <c r="BB183" s="581"/>
      <c r="BC183" s="581"/>
      <c r="BD183" s="581"/>
      <c r="BE183" s="581"/>
      <c r="BF183" s="581"/>
      <c r="BG183" s="581"/>
      <c r="BH183" s="581"/>
      <c r="BI183" s="581"/>
      <c r="BJ183" s="581"/>
      <c r="BK183" s="581"/>
      <c r="BL183" s="581"/>
      <c r="BM183" s="581"/>
    </row>
    <row r="184" s="580" customFormat="1" ht="17.1" customHeight="1" outlineLevel="3" spans="1:65">
      <c r="A184" s="759"/>
      <c r="B184" s="598" t="s">
        <v>1083</v>
      </c>
      <c r="C184" s="599" t="s">
        <v>762</v>
      </c>
      <c r="D184" s="763" t="s">
        <v>1084</v>
      </c>
      <c r="E184" s="766" t="s">
        <v>1085</v>
      </c>
      <c r="F184" s="370" t="s">
        <v>505</v>
      </c>
      <c r="G184" s="767">
        <v>1</v>
      </c>
      <c r="H184" s="765" t="s">
        <v>655</v>
      </c>
      <c r="I184" s="765"/>
      <c r="J184" s="776">
        <v>33</v>
      </c>
      <c r="K184" s="497">
        <v>0.06</v>
      </c>
      <c r="L184" s="772">
        <v>0</v>
      </c>
      <c r="M184" s="772">
        <v>0</v>
      </c>
      <c r="N184" s="773">
        <v>0</v>
      </c>
      <c r="O184" s="774"/>
      <c r="P184" s="775"/>
      <c r="Q184" s="667">
        <v>0</v>
      </c>
      <c r="R184" s="668">
        <v>0</v>
      </c>
      <c r="S184" s="669">
        <v>0</v>
      </c>
      <c r="T184" s="669">
        <v>0</v>
      </c>
      <c r="U184" s="669">
        <v>0</v>
      </c>
      <c r="V184" s="669">
        <v>0</v>
      </c>
      <c r="W184" s="781">
        <v>0</v>
      </c>
      <c r="X184" s="774"/>
      <c r="Y184" s="774"/>
      <c r="Z184" s="785"/>
      <c r="AA184" s="695"/>
      <c r="AB184" s="581"/>
      <c r="AC184" s="581"/>
      <c r="AD184" s="581"/>
      <c r="AE184" s="581"/>
      <c r="AF184" s="581"/>
      <c r="AG184" s="581"/>
      <c r="AH184" s="581"/>
      <c r="AI184" s="581"/>
      <c r="AJ184" s="581"/>
      <c r="AK184" s="581"/>
      <c r="AL184" s="581"/>
      <c r="AM184" s="581"/>
      <c r="AN184" s="581"/>
      <c r="AO184" s="581"/>
      <c r="AP184" s="581"/>
      <c r="AQ184" s="581"/>
      <c r="AR184" s="581"/>
      <c r="AS184" s="581"/>
      <c r="AT184" s="581"/>
      <c r="AU184" s="581"/>
      <c r="AV184" s="581"/>
      <c r="AW184" s="581"/>
      <c r="AX184" s="581"/>
      <c r="AY184" s="581"/>
      <c r="AZ184" s="581"/>
      <c r="BA184" s="581"/>
      <c r="BB184" s="581"/>
      <c r="BC184" s="581"/>
      <c r="BD184" s="581"/>
      <c r="BE184" s="581"/>
      <c r="BF184" s="581"/>
      <c r="BG184" s="581"/>
      <c r="BH184" s="581"/>
      <c r="BI184" s="581"/>
      <c r="BJ184" s="581"/>
      <c r="BK184" s="581"/>
      <c r="BL184" s="581"/>
      <c r="BM184" s="581"/>
    </row>
    <row r="185" s="580" customFormat="1" ht="17.1" customHeight="1" outlineLevel="3" spans="1:65">
      <c r="A185" s="759"/>
      <c r="B185" s="598" t="s">
        <v>1086</v>
      </c>
      <c r="C185" s="599" t="s">
        <v>778</v>
      </c>
      <c r="D185" s="763" t="s">
        <v>1087</v>
      </c>
      <c r="E185" s="766" t="s">
        <v>1088</v>
      </c>
      <c r="F185" s="612" t="s">
        <v>604</v>
      </c>
      <c r="G185" s="767">
        <v>1</v>
      </c>
      <c r="H185" s="765" t="s">
        <v>655</v>
      </c>
      <c r="I185" s="767"/>
      <c r="J185" s="776">
        <v>16.8526559244673</v>
      </c>
      <c r="K185" s="497">
        <v>0.06</v>
      </c>
      <c r="L185" s="772">
        <v>0</v>
      </c>
      <c r="M185" s="772">
        <v>0</v>
      </c>
      <c r="N185" s="773">
        <v>0</v>
      </c>
      <c r="O185" s="144"/>
      <c r="P185" s="777"/>
      <c r="Q185" s="667">
        <v>0</v>
      </c>
      <c r="R185" s="668">
        <v>0</v>
      </c>
      <c r="S185" s="669">
        <v>0</v>
      </c>
      <c r="T185" s="669">
        <v>0</v>
      </c>
      <c r="U185" s="669">
        <v>0</v>
      </c>
      <c r="V185" s="669">
        <v>0</v>
      </c>
      <c r="W185" s="781">
        <v>0</v>
      </c>
      <c r="X185" s="774"/>
      <c r="Y185" s="774"/>
      <c r="Z185" s="785"/>
      <c r="AA185" s="695"/>
      <c r="AB185" s="581"/>
      <c r="AC185" s="581"/>
      <c r="AD185" s="581"/>
      <c r="AE185" s="581"/>
      <c r="AF185" s="581"/>
      <c r="AG185" s="581"/>
      <c r="AH185" s="581"/>
      <c r="AI185" s="581"/>
      <c r="AJ185" s="581"/>
      <c r="AK185" s="581"/>
      <c r="AL185" s="581"/>
      <c r="AM185" s="581"/>
      <c r="AN185" s="581"/>
      <c r="AO185" s="581"/>
      <c r="AP185" s="581"/>
      <c r="AQ185" s="581"/>
      <c r="AR185" s="581"/>
      <c r="AS185" s="581"/>
      <c r="AT185" s="581"/>
      <c r="AU185" s="581"/>
      <c r="AV185" s="581"/>
      <c r="AW185" s="581"/>
      <c r="AX185" s="581"/>
      <c r="AY185" s="581"/>
      <c r="AZ185" s="581"/>
      <c r="BA185" s="581"/>
      <c r="BB185" s="581"/>
      <c r="BC185" s="581"/>
      <c r="BD185" s="581"/>
      <c r="BE185" s="581"/>
      <c r="BF185" s="581"/>
      <c r="BG185" s="581"/>
      <c r="BH185" s="581"/>
      <c r="BI185" s="581"/>
      <c r="BJ185" s="581"/>
      <c r="BK185" s="581"/>
      <c r="BL185" s="581"/>
      <c r="BM185" s="581"/>
    </row>
    <row r="186" s="580" customFormat="1" ht="17.1" customHeight="1" outlineLevel="3" spans="1:65">
      <c r="A186" s="759"/>
      <c r="B186" s="598" t="s">
        <v>1089</v>
      </c>
      <c r="C186" s="599" t="s">
        <v>781</v>
      </c>
      <c r="D186" s="763" t="s">
        <v>1090</v>
      </c>
      <c r="E186" s="598"/>
      <c r="F186" s="612"/>
      <c r="G186" s="375">
        <v>1</v>
      </c>
      <c r="H186" s="765" t="s">
        <v>655</v>
      </c>
      <c r="I186" s="375"/>
      <c r="J186" s="776"/>
      <c r="K186" s="497">
        <v>0.06</v>
      </c>
      <c r="L186" s="772">
        <v>0</v>
      </c>
      <c r="M186" s="772">
        <v>0</v>
      </c>
      <c r="N186" s="773">
        <v>0</v>
      </c>
      <c r="O186" s="144" t="s">
        <v>1469</v>
      </c>
      <c r="P186" s="777"/>
      <c r="Q186" s="667">
        <v>0</v>
      </c>
      <c r="R186" s="668">
        <v>0</v>
      </c>
      <c r="S186" s="669">
        <v>0</v>
      </c>
      <c r="T186" s="669">
        <v>0</v>
      </c>
      <c r="U186" s="669">
        <v>0</v>
      </c>
      <c r="V186" s="669">
        <v>0</v>
      </c>
      <c r="W186" s="781">
        <v>0</v>
      </c>
      <c r="X186" s="774"/>
      <c r="Y186" s="774"/>
      <c r="Z186" s="785"/>
      <c r="AA186" s="695"/>
      <c r="AB186" s="581"/>
      <c r="AC186" s="581"/>
      <c r="AD186" s="581"/>
      <c r="AE186" s="581"/>
      <c r="AF186" s="581"/>
      <c r="AG186" s="581"/>
      <c r="AH186" s="581"/>
      <c r="AI186" s="581"/>
      <c r="AJ186" s="581"/>
      <c r="AK186" s="581"/>
      <c r="AL186" s="581"/>
      <c r="AM186" s="581"/>
      <c r="AN186" s="581"/>
      <c r="AO186" s="581"/>
      <c r="AP186" s="581"/>
      <c r="AQ186" s="581"/>
      <c r="AR186" s="581"/>
      <c r="AS186" s="581"/>
      <c r="AT186" s="581"/>
      <c r="AU186" s="581"/>
      <c r="AV186" s="581"/>
      <c r="AW186" s="581"/>
      <c r="AX186" s="581"/>
      <c r="AY186" s="581"/>
      <c r="AZ186" s="581"/>
      <c r="BA186" s="581"/>
      <c r="BB186" s="581"/>
      <c r="BC186" s="581"/>
      <c r="BD186" s="581"/>
      <c r="BE186" s="581"/>
      <c r="BF186" s="581"/>
      <c r="BG186" s="581"/>
      <c r="BH186" s="581"/>
      <c r="BI186" s="581"/>
      <c r="BJ186" s="581"/>
      <c r="BK186" s="581"/>
      <c r="BL186" s="581"/>
      <c r="BM186" s="581"/>
    </row>
    <row r="187" s="580" customFormat="1" ht="17.1" customHeight="1" outlineLevel="3" spans="1:65">
      <c r="A187" s="759"/>
      <c r="B187" s="598" t="s">
        <v>1091</v>
      </c>
      <c r="C187" s="599" t="s">
        <v>788</v>
      </c>
      <c r="D187" s="763" t="s">
        <v>1092</v>
      </c>
      <c r="E187" s="598"/>
      <c r="F187" s="612"/>
      <c r="G187" s="375">
        <v>1</v>
      </c>
      <c r="H187" s="765" t="s">
        <v>655</v>
      </c>
      <c r="I187" s="375"/>
      <c r="J187" s="776"/>
      <c r="K187" s="497">
        <v>0.06</v>
      </c>
      <c r="L187" s="772">
        <v>0</v>
      </c>
      <c r="M187" s="772">
        <v>0</v>
      </c>
      <c r="N187" s="773">
        <v>0</v>
      </c>
      <c r="O187" s="774" t="s">
        <v>1469</v>
      </c>
      <c r="P187" s="775"/>
      <c r="Q187" s="667">
        <v>0</v>
      </c>
      <c r="R187" s="668">
        <v>0</v>
      </c>
      <c r="S187" s="669">
        <v>0</v>
      </c>
      <c r="T187" s="669">
        <v>0</v>
      </c>
      <c r="U187" s="669">
        <v>0</v>
      </c>
      <c r="V187" s="669">
        <v>0</v>
      </c>
      <c r="W187" s="781">
        <v>0</v>
      </c>
      <c r="X187" s="774"/>
      <c r="Y187" s="774"/>
      <c r="Z187" s="785"/>
      <c r="AA187" s="695"/>
      <c r="AB187" s="581"/>
      <c r="AC187" s="581"/>
      <c r="AD187" s="581"/>
      <c r="AE187" s="581"/>
      <c r="AF187" s="581"/>
      <c r="AG187" s="581"/>
      <c r="AH187" s="581"/>
      <c r="AI187" s="581"/>
      <c r="AJ187" s="581"/>
      <c r="AK187" s="581"/>
      <c r="AL187" s="581"/>
      <c r="AM187" s="581"/>
      <c r="AN187" s="581"/>
      <c r="AO187" s="581"/>
      <c r="AP187" s="581"/>
      <c r="AQ187" s="581"/>
      <c r="AR187" s="581"/>
      <c r="AS187" s="581"/>
      <c r="AT187" s="581"/>
      <c r="AU187" s="581"/>
      <c r="AV187" s="581"/>
      <c r="AW187" s="581"/>
      <c r="AX187" s="581"/>
      <c r="AY187" s="581"/>
      <c r="AZ187" s="581"/>
      <c r="BA187" s="581"/>
      <c r="BB187" s="581"/>
      <c r="BC187" s="581"/>
      <c r="BD187" s="581"/>
      <c r="BE187" s="581"/>
      <c r="BF187" s="581"/>
      <c r="BG187" s="581"/>
      <c r="BH187" s="581"/>
      <c r="BI187" s="581"/>
      <c r="BJ187" s="581"/>
      <c r="BK187" s="581"/>
      <c r="BL187" s="581"/>
      <c r="BM187" s="581"/>
    </row>
    <row r="188" s="580" customFormat="1" ht="17.1" customHeight="1" outlineLevel="3" spans="1:65">
      <c r="A188" s="759"/>
      <c r="B188" s="598" t="s">
        <v>1093</v>
      </c>
      <c r="C188" s="599" t="s">
        <v>791</v>
      </c>
      <c r="D188" s="763" t="s">
        <v>1095</v>
      </c>
      <c r="E188" s="766" t="s">
        <v>1095</v>
      </c>
      <c r="F188" s="612"/>
      <c r="G188" s="290"/>
      <c r="H188" s="375"/>
      <c r="I188" s="301"/>
      <c r="J188" s="776"/>
      <c r="K188" s="497">
        <v>0.06</v>
      </c>
      <c r="L188" s="772">
        <v>0</v>
      </c>
      <c r="M188" s="772">
        <v>0</v>
      </c>
      <c r="N188" s="773">
        <v>0</v>
      </c>
      <c r="O188" s="774"/>
      <c r="P188" s="775"/>
      <c r="Q188" s="667">
        <v>0</v>
      </c>
      <c r="R188" s="668">
        <v>0</v>
      </c>
      <c r="S188" s="669">
        <v>0</v>
      </c>
      <c r="T188" s="669">
        <v>0</v>
      </c>
      <c r="U188" s="669">
        <v>0</v>
      </c>
      <c r="V188" s="669">
        <v>0</v>
      </c>
      <c r="W188" s="781">
        <v>0</v>
      </c>
      <c r="X188" s="774"/>
      <c r="Y188" s="774"/>
      <c r="Z188" s="785"/>
      <c r="AA188" s="695"/>
      <c r="AB188" s="581"/>
      <c r="AC188" s="581"/>
      <c r="AD188" s="581"/>
      <c r="AE188" s="581"/>
      <c r="AF188" s="581"/>
      <c r="AG188" s="581"/>
      <c r="AH188" s="581"/>
      <c r="AI188" s="581"/>
      <c r="AJ188" s="581"/>
      <c r="AK188" s="581"/>
      <c r="AL188" s="581"/>
      <c r="AM188" s="581"/>
      <c r="AN188" s="581"/>
      <c r="AO188" s="581"/>
      <c r="AP188" s="581"/>
      <c r="AQ188" s="581"/>
      <c r="AR188" s="581"/>
      <c r="AS188" s="581"/>
      <c r="AT188" s="581"/>
      <c r="AU188" s="581"/>
      <c r="AV188" s="581"/>
      <c r="AW188" s="581"/>
      <c r="AX188" s="581"/>
      <c r="AY188" s="581"/>
      <c r="AZ188" s="581"/>
      <c r="BA188" s="581"/>
      <c r="BB188" s="581"/>
      <c r="BC188" s="581"/>
      <c r="BD188" s="581"/>
      <c r="BE188" s="581"/>
      <c r="BF188" s="581"/>
      <c r="BG188" s="581"/>
      <c r="BH188" s="581"/>
      <c r="BI188" s="581"/>
      <c r="BJ188" s="581"/>
      <c r="BK188" s="581"/>
      <c r="BL188" s="581"/>
      <c r="BM188" s="581"/>
    </row>
    <row r="189" s="580" customFormat="1" ht="17.1" customHeight="1" outlineLevel="3" spans="1:65">
      <c r="A189" s="759"/>
      <c r="B189" s="598" t="s">
        <v>1096</v>
      </c>
      <c r="C189" s="599" t="s">
        <v>794</v>
      </c>
      <c r="D189" s="763" t="s">
        <v>1098</v>
      </c>
      <c r="E189" s="766" t="s">
        <v>1099</v>
      </c>
      <c r="F189" s="479" t="s">
        <v>1100</v>
      </c>
      <c r="G189" s="375">
        <v>1</v>
      </c>
      <c r="H189" s="765" t="s">
        <v>655</v>
      </c>
      <c r="I189" s="301"/>
      <c r="J189" s="776">
        <v>5</v>
      </c>
      <c r="K189" s="497">
        <v>0.06</v>
      </c>
      <c r="L189" s="772">
        <v>0</v>
      </c>
      <c r="M189" s="772">
        <v>0</v>
      </c>
      <c r="N189" s="773">
        <v>0</v>
      </c>
      <c r="O189" s="774"/>
      <c r="P189" s="775"/>
      <c r="Q189" s="667">
        <v>0</v>
      </c>
      <c r="R189" s="668">
        <v>0</v>
      </c>
      <c r="S189" s="669">
        <v>0</v>
      </c>
      <c r="T189" s="669">
        <v>0</v>
      </c>
      <c r="U189" s="669">
        <v>0</v>
      </c>
      <c r="V189" s="669">
        <v>0</v>
      </c>
      <c r="W189" s="781">
        <v>0</v>
      </c>
      <c r="X189" s="774"/>
      <c r="Y189" s="774"/>
      <c r="Z189" s="785"/>
      <c r="AA189" s="695"/>
      <c r="AB189" s="581"/>
      <c r="AC189" s="581"/>
      <c r="AD189" s="581"/>
      <c r="AE189" s="581"/>
      <c r="AF189" s="581"/>
      <c r="AG189" s="581"/>
      <c r="AH189" s="581"/>
      <c r="AI189" s="581"/>
      <c r="AJ189" s="581"/>
      <c r="AK189" s="581"/>
      <c r="AL189" s="581"/>
      <c r="AM189" s="581"/>
      <c r="AN189" s="581"/>
      <c r="AO189" s="581"/>
      <c r="AP189" s="581"/>
      <c r="AQ189" s="581"/>
      <c r="AR189" s="581"/>
      <c r="AS189" s="581"/>
      <c r="AT189" s="581"/>
      <c r="AU189" s="581"/>
      <c r="AV189" s="581"/>
      <c r="AW189" s="581"/>
      <c r="AX189" s="581"/>
      <c r="AY189" s="581"/>
      <c r="AZ189" s="581"/>
      <c r="BA189" s="581"/>
      <c r="BB189" s="581"/>
      <c r="BC189" s="581"/>
      <c r="BD189" s="581"/>
      <c r="BE189" s="581"/>
      <c r="BF189" s="581"/>
      <c r="BG189" s="581"/>
      <c r="BH189" s="581"/>
      <c r="BI189" s="581"/>
      <c r="BJ189" s="581"/>
      <c r="BK189" s="581"/>
      <c r="BL189" s="581"/>
      <c r="BM189" s="581"/>
    </row>
    <row r="190" s="580" customFormat="1" ht="17.1" customHeight="1" outlineLevel="3" spans="1:65">
      <c r="A190" s="759"/>
      <c r="B190" s="598" t="s">
        <v>1101</v>
      </c>
      <c r="C190" s="599" t="s">
        <v>797</v>
      </c>
      <c r="D190" s="763" t="s">
        <v>1103</v>
      </c>
      <c r="E190" s="766" t="s">
        <v>1104</v>
      </c>
      <c r="F190" s="612"/>
      <c r="G190" s="290"/>
      <c r="H190" s="375"/>
      <c r="I190" s="301"/>
      <c r="J190" s="776"/>
      <c r="K190" s="497">
        <v>0.06</v>
      </c>
      <c r="L190" s="772">
        <v>0</v>
      </c>
      <c r="M190" s="772">
        <v>0</v>
      </c>
      <c r="N190" s="773">
        <v>0</v>
      </c>
      <c r="O190" s="774"/>
      <c r="P190" s="775"/>
      <c r="Q190" s="667">
        <v>0</v>
      </c>
      <c r="R190" s="668">
        <v>0</v>
      </c>
      <c r="S190" s="669">
        <v>0</v>
      </c>
      <c r="T190" s="669">
        <v>0</v>
      </c>
      <c r="U190" s="669">
        <v>0</v>
      </c>
      <c r="V190" s="669">
        <v>0</v>
      </c>
      <c r="W190" s="781">
        <v>0</v>
      </c>
      <c r="X190" s="774"/>
      <c r="Y190" s="774"/>
      <c r="Z190" s="785"/>
      <c r="AA190" s="695"/>
      <c r="AB190" s="581"/>
      <c r="AC190" s="581"/>
      <c r="AD190" s="581"/>
      <c r="AE190" s="581"/>
      <c r="AF190" s="581"/>
      <c r="AG190" s="581"/>
      <c r="AH190" s="581"/>
      <c r="AI190" s="581"/>
      <c r="AJ190" s="581"/>
      <c r="AK190" s="581"/>
      <c r="AL190" s="581"/>
      <c r="AM190" s="581"/>
      <c r="AN190" s="581"/>
      <c r="AO190" s="581"/>
      <c r="AP190" s="581"/>
      <c r="AQ190" s="581"/>
      <c r="AR190" s="581"/>
      <c r="AS190" s="581"/>
      <c r="AT190" s="581"/>
      <c r="AU190" s="581"/>
      <c r="AV190" s="581"/>
      <c r="AW190" s="581"/>
      <c r="AX190" s="581"/>
      <c r="AY190" s="581"/>
      <c r="AZ190" s="581"/>
      <c r="BA190" s="581"/>
      <c r="BB190" s="581"/>
      <c r="BC190" s="581"/>
      <c r="BD190" s="581"/>
      <c r="BE190" s="581"/>
      <c r="BF190" s="581"/>
      <c r="BG190" s="581"/>
      <c r="BH190" s="581"/>
      <c r="BI190" s="581"/>
      <c r="BJ190" s="581"/>
      <c r="BK190" s="581"/>
      <c r="BL190" s="581"/>
      <c r="BM190" s="581"/>
    </row>
    <row r="191" s="580" customFormat="1" ht="17.1" customHeight="1" outlineLevel="3" spans="1:65">
      <c r="A191" s="759"/>
      <c r="B191" s="598" t="s">
        <v>1105</v>
      </c>
      <c r="C191" s="599" t="s">
        <v>1519</v>
      </c>
      <c r="D191" s="763" t="s">
        <v>1107</v>
      </c>
      <c r="E191" s="766" t="s">
        <v>1108</v>
      </c>
      <c r="F191" s="479" t="s">
        <v>1100</v>
      </c>
      <c r="G191" s="375">
        <v>1</v>
      </c>
      <c r="H191" s="765" t="s">
        <v>655</v>
      </c>
      <c r="I191" s="301"/>
      <c r="J191" s="776">
        <v>0.5</v>
      </c>
      <c r="K191" s="497">
        <v>0.06</v>
      </c>
      <c r="L191" s="772">
        <v>0</v>
      </c>
      <c r="M191" s="772">
        <v>0</v>
      </c>
      <c r="N191" s="773">
        <v>0</v>
      </c>
      <c r="O191" s="774"/>
      <c r="P191" s="775"/>
      <c r="Q191" s="667">
        <v>0</v>
      </c>
      <c r="R191" s="668">
        <v>0</v>
      </c>
      <c r="S191" s="669">
        <v>0</v>
      </c>
      <c r="T191" s="669">
        <v>0</v>
      </c>
      <c r="U191" s="669">
        <v>0</v>
      </c>
      <c r="V191" s="669">
        <v>0</v>
      </c>
      <c r="W191" s="781">
        <v>0</v>
      </c>
      <c r="X191" s="774"/>
      <c r="Y191" s="774"/>
      <c r="Z191" s="785"/>
      <c r="AA191" s="695"/>
      <c r="AB191" s="581"/>
      <c r="AC191" s="581"/>
      <c r="AD191" s="581"/>
      <c r="AE191" s="581"/>
      <c r="AF191" s="581"/>
      <c r="AG191" s="581"/>
      <c r="AH191" s="581"/>
      <c r="AI191" s="581"/>
      <c r="AJ191" s="581"/>
      <c r="AK191" s="581"/>
      <c r="AL191" s="581"/>
      <c r="AM191" s="581"/>
      <c r="AN191" s="581"/>
      <c r="AO191" s="581"/>
      <c r="AP191" s="581"/>
      <c r="AQ191" s="581"/>
      <c r="AR191" s="581"/>
      <c r="AS191" s="581"/>
      <c r="AT191" s="581"/>
      <c r="AU191" s="581"/>
      <c r="AV191" s="581"/>
      <c r="AW191" s="581"/>
      <c r="AX191" s="581"/>
      <c r="AY191" s="581"/>
      <c r="AZ191" s="581"/>
      <c r="BA191" s="581"/>
      <c r="BB191" s="581"/>
      <c r="BC191" s="581"/>
      <c r="BD191" s="581"/>
      <c r="BE191" s="581"/>
      <c r="BF191" s="581"/>
      <c r="BG191" s="581"/>
      <c r="BH191" s="581"/>
      <c r="BI191" s="581"/>
      <c r="BJ191" s="581"/>
      <c r="BK191" s="581"/>
      <c r="BL191" s="581"/>
      <c r="BM191" s="581"/>
    </row>
    <row r="192" s="580" customFormat="1" ht="17.1" customHeight="1" outlineLevel="3" spans="1:65">
      <c r="A192" s="759"/>
      <c r="B192" s="598" t="s">
        <v>1109</v>
      </c>
      <c r="C192" s="599" t="s">
        <v>1520</v>
      </c>
      <c r="D192" s="763" t="s">
        <v>1111</v>
      </c>
      <c r="E192" s="766" t="s">
        <v>1112</v>
      </c>
      <c r="F192" s="612"/>
      <c r="G192" s="290"/>
      <c r="H192" s="375"/>
      <c r="I192" s="301"/>
      <c r="J192" s="776"/>
      <c r="K192" s="497">
        <v>0.06</v>
      </c>
      <c r="L192" s="772">
        <v>0</v>
      </c>
      <c r="M192" s="772">
        <v>0</v>
      </c>
      <c r="N192" s="773">
        <v>0</v>
      </c>
      <c r="O192" s="774"/>
      <c r="P192" s="775"/>
      <c r="Q192" s="667">
        <v>0</v>
      </c>
      <c r="R192" s="668">
        <v>0</v>
      </c>
      <c r="S192" s="669">
        <v>0</v>
      </c>
      <c r="T192" s="669">
        <v>0</v>
      </c>
      <c r="U192" s="669">
        <v>0</v>
      </c>
      <c r="V192" s="669">
        <v>0</v>
      </c>
      <c r="W192" s="781">
        <v>0</v>
      </c>
      <c r="X192" s="774"/>
      <c r="Y192" s="774"/>
      <c r="Z192" s="785"/>
      <c r="AA192" s="695"/>
      <c r="AB192" s="581"/>
      <c r="AC192" s="581"/>
      <c r="AD192" s="581"/>
      <c r="AE192" s="581"/>
      <c r="AF192" s="581"/>
      <c r="AG192" s="581"/>
      <c r="AH192" s="581"/>
      <c r="AI192" s="581"/>
      <c r="AJ192" s="581"/>
      <c r="AK192" s="581"/>
      <c r="AL192" s="581"/>
      <c r="AM192" s="581"/>
      <c r="AN192" s="581"/>
      <c r="AO192" s="581"/>
      <c r="AP192" s="581"/>
      <c r="AQ192" s="581"/>
      <c r="AR192" s="581"/>
      <c r="AS192" s="581"/>
      <c r="AT192" s="581"/>
      <c r="AU192" s="581"/>
      <c r="AV192" s="581"/>
      <c r="AW192" s="581"/>
      <c r="AX192" s="581"/>
      <c r="AY192" s="581"/>
      <c r="AZ192" s="581"/>
      <c r="BA192" s="581"/>
      <c r="BB192" s="581"/>
      <c r="BC192" s="581"/>
      <c r="BD192" s="581"/>
      <c r="BE192" s="581"/>
      <c r="BF192" s="581"/>
      <c r="BG192" s="581"/>
      <c r="BH192" s="581"/>
      <c r="BI192" s="581"/>
      <c r="BJ192" s="581"/>
      <c r="BK192" s="581"/>
      <c r="BL192" s="581"/>
      <c r="BM192" s="581"/>
    </row>
    <row r="193" s="580" customFormat="1" ht="21.75" customHeight="1" outlineLevel="1" spans="1:65">
      <c r="A193" s="759"/>
      <c r="B193" s="760" t="s">
        <v>569</v>
      </c>
      <c r="C193" s="761">
        <v>2</v>
      </c>
      <c r="D193" s="505" t="s">
        <v>570</v>
      </c>
      <c r="E193" s="505" t="s">
        <v>570</v>
      </c>
      <c r="F193" s="193"/>
      <c r="G193" s="495"/>
      <c r="H193" s="193" t="s">
        <v>1113</v>
      </c>
      <c r="I193" s="495"/>
      <c r="J193" s="495"/>
      <c r="K193" s="802">
        <v>0</v>
      </c>
      <c r="L193" s="803">
        <v>0</v>
      </c>
      <c r="M193" s="803">
        <v>0</v>
      </c>
      <c r="N193" s="495">
        <v>0</v>
      </c>
      <c r="O193" s="193"/>
      <c r="P193" s="804" t="s">
        <v>1452</v>
      </c>
      <c r="Q193" s="821">
        <v>0</v>
      </c>
      <c r="R193" s="822">
        <v>0</v>
      </c>
      <c r="S193" s="495">
        <v>0</v>
      </c>
      <c r="T193" s="495">
        <v>0</v>
      </c>
      <c r="U193" s="495">
        <v>0</v>
      </c>
      <c r="V193" s="495">
        <v>0</v>
      </c>
      <c r="W193" s="780">
        <v>0</v>
      </c>
      <c r="X193" s="545"/>
      <c r="Y193" s="545"/>
      <c r="Z193" s="783"/>
      <c r="AA193" s="784"/>
      <c r="AB193" s="581"/>
      <c r="AC193" s="581"/>
      <c r="AD193" s="581"/>
      <c r="AE193" s="581"/>
      <c r="AF193" s="581"/>
      <c r="AG193" s="581"/>
      <c r="AH193" s="581"/>
      <c r="AI193" s="581"/>
      <c r="AJ193" s="581"/>
      <c r="AK193" s="581"/>
      <c r="AL193" s="581"/>
      <c r="AM193" s="581"/>
      <c r="AN193" s="581"/>
      <c r="AO193" s="581"/>
      <c r="AP193" s="581"/>
      <c r="AQ193" s="581"/>
      <c r="AR193" s="581"/>
      <c r="AS193" s="581"/>
      <c r="AT193" s="581"/>
      <c r="AU193" s="581"/>
      <c r="AV193" s="581"/>
      <c r="AW193" s="581"/>
      <c r="AX193" s="581"/>
      <c r="AY193" s="581"/>
      <c r="AZ193" s="581"/>
      <c r="BA193" s="581"/>
      <c r="BB193" s="581"/>
      <c r="BC193" s="581"/>
      <c r="BD193" s="581"/>
      <c r="BE193" s="581"/>
      <c r="BF193" s="581"/>
      <c r="BG193" s="581"/>
      <c r="BH193" s="581"/>
      <c r="BI193" s="581"/>
      <c r="BJ193" s="581"/>
      <c r="BK193" s="581"/>
      <c r="BL193" s="581"/>
      <c r="BM193" s="581"/>
    </row>
    <row r="194" s="580" customFormat="1" ht="17.1" customHeight="1" outlineLevel="1" spans="1:65">
      <c r="A194" s="759"/>
      <c r="B194" s="760" t="s">
        <v>572</v>
      </c>
      <c r="C194" s="761">
        <v>3</v>
      </c>
      <c r="D194" s="505" t="s">
        <v>573</v>
      </c>
      <c r="E194" s="505"/>
      <c r="F194" s="193"/>
      <c r="G194" s="762"/>
      <c r="H194" s="762"/>
      <c r="I194" s="769"/>
      <c r="J194" s="770"/>
      <c r="K194" s="770"/>
      <c r="L194" s="771">
        <v>0</v>
      </c>
      <c r="M194" s="771">
        <v>0</v>
      </c>
      <c r="N194" s="771">
        <v>0</v>
      </c>
      <c r="O194" s="545"/>
      <c r="P194" s="804" t="s">
        <v>1452</v>
      </c>
      <c r="Q194" s="778">
        <v>0</v>
      </c>
      <c r="R194" s="779">
        <v>0</v>
      </c>
      <c r="S194" s="771">
        <v>0</v>
      </c>
      <c r="T194" s="771">
        <v>0</v>
      </c>
      <c r="U194" s="771">
        <v>0</v>
      </c>
      <c r="V194" s="771">
        <v>0</v>
      </c>
      <c r="W194" s="780">
        <v>0</v>
      </c>
      <c r="X194" s="545"/>
      <c r="Y194" s="545"/>
      <c r="Z194" s="783"/>
      <c r="AA194" s="784"/>
      <c r="AB194" s="581"/>
      <c r="AC194" s="581"/>
      <c r="AD194" s="581"/>
      <c r="AE194" s="581"/>
      <c r="AF194" s="581"/>
      <c r="AG194" s="581"/>
      <c r="AH194" s="581"/>
      <c r="AI194" s="581"/>
      <c r="AJ194" s="581"/>
      <c r="AK194" s="581"/>
      <c r="AL194" s="581"/>
      <c r="AM194" s="581"/>
      <c r="AN194" s="581"/>
      <c r="AO194" s="581"/>
      <c r="AP194" s="581"/>
      <c r="AQ194" s="581"/>
      <c r="AR194" s="581"/>
      <c r="AS194" s="581"/>
      <c r="AT194" s="581"/>
      <c r="AU194" s="581"/>
      <c r="AV194" s="581"/>
      <c r="AW194" s="581"/>
      <c r="AX194" s="581"/>
      <c r="AY194" s="581"/>
      <c r="AZ194" s="581"/>
      <c r="BA194" s="581"/>
      <c r="BB194" s="581"/>
      <c r="BC194" s="581"/>
      <c r="BD194" s="581"/>
      <c r="BE194" s="581"/>
      <c r="BF194" s="581"/>
      <c r="BG194" s="581"/>
      <c r="BH194" s="581"/>
      <c r="BI194" s="581"/>
      <c r="BJ194" s="581"/>
      <c r="BK194" s="581"/>
      <c r="BL194" s="581"/>
      <c r="BM194" s="581"/>
    </row>
    <row r="195" s="580" customFormat="1" ht="17.1" customHeight="1" outlineLevel="3" spans="1:65">
      <c r="A195" s="759"/>
      <c r="B195" s="786" t="s">
        <v>1114</v>
      </c>
      <c r="C195" s="787" t="s">
        <v>1078</v>
      </c>
      <c r="D195" s="763" t="s">
        <v>1115</v>
      </c>
      <c r="E195" s="479" t="s">
        <v>1116</v>
      </c>
      <c r="F195" s="479" t="s">
        <v>1100</v>
      </c>
      <c r="G195" s="764">
        <v>1</v>
      </c>
      <c r="H195" s="765" t="s">
        <v>655</v>
      </c>
      <c r="I195" s="301">
        <v>0</v>
      </c>
      <c r="J195" s="772">
        <v>16</v>
      </c>
      <c r="K195" s="805">
        <v>0</v>
      </c>
      <c r="L195" s="772">
        <v>0</v>
      </c>
      <c r="M195" s="772">
        <v>0</v>
      </c>
      <c r="N195" s="144">
        <v>0</v>
      </c>
      <c r="O195" s="774"/>
      <c r="P195" s="775"/>
      <c r="Q195" s="781">
        <v>0</v>
      </c>
      <c r="R195" s="823">
        <v>0</v>
      </c>
      <c r="S195" s="774">
        <v>0</v>
      </c>
      <c r="T195" s="774">
        <v>0</v>
      </c>
      <c r="U195" s="774">
        <v>0</v>
      </c>
      <c r="V195" s="774">
        <v>0</v>
      </c>
      <c r="W195" s="781">
        <v>0</v>
      </c>
      <c r="X195" s="774"/>
      <c r="Y195" s="774"/>
      <c r="Z195" s="785"/>
      <c r="AA195" s="695"/>
      <c r="AB195" s="581"/>
      <c r="AC195" s="581"/>
      <c r="AD195" s="581"/>
      <c r="AE195" s="581"/>
      <c r="AF195" s="581"/>
      <c r="AG195" s="581"/>
      <c r="AH195" s="581"/>
      <c r="AI195" s="581"/>
      <c r="AJ195" s="581"/>
      <c r="AK195" s="581"/>
      <c r="AL195" s="581"/>
      <c r="AM195" s="581"/>
      <c r="AN195" s="581"/>
      <c r="AO195" s="581"/>
      <c r="AP195" s="581"/>
      <c r="AQ195" s="581"/>
      <c r="AR195" s="581"/>
      <c r="AS195" s="581"/>
      <c r="AT195" s="581"/>
      <c r="AU195" s="581"/>
      <c r="AV195" s="581"/>
      <c r="AW195" s="581"/>
      <c r="AX195" s="581"/>
      <c r="AY195" s="581"/>
      <c r="AZ195" s="581"/>
      <c r="BA195" s="581"/>
      <c r="BB195" s="581"/>
      <c r="BC195" s="581"/>
      <c r="BD195" s="581"/>
      <c r="BE195" s="581"/>
      <c r="BF195" s="581"/>
      <c r="BG195" s="581"/>
      <c r="BH195" s="581"/>
      <c r="BI195" s="581"/>
      <c r="BJ195" s="581"/>
      <c r="BK195" s="581"/>
      <c r="BL195" s="581"/>
      <c r="BM195" s="581"/>
    </row>
    <row r="196" s="580" customFormat="1" ht="17.1" customHeight="1" outlineLevel="3" spans="1:65">
      <c r="A196" s="759"/>
      <c r="B196" s="786" t="s">
        <v>1117</v>
      </c>
      <c r="C196" s="787" t="s">
        <v>1021</v>
      </c>
      <c r="D196" s="763" t="s">
        <v>1118</v>
      </c>
      <c r="E196" s="479" t="s">
        <v>1119</v>
      </c>
      <c r="F196" s="479" t="s">
        <v>1100</v>
      </c>
      <c r="G196" s="788">
        <v>1</v>
      </c>
      <c r="H196" s="765" t="s">
        <v>655</v>
      </c>
      <c r="I196" s="301">
        <v>0</v>
      </c>
      <c r="J196" s="776">
        <v>2</v>
      </c>
      <c r="K196" s="805">
        <v>0</v>
      </c>
      <c r="L196" s="772">
        <v>0</v>
      </c>
      <c r="M196" s="772">
        <v>0</v>
      </c>
      <c r="N196" s="144">
        <v>0</v>
      </c>
      <c r="O196" s="774"/>
      <c r="P196" s="775"/>
      <c r="Q196" s="781">
        <v>0</v>
      </c>
      <c r="R196" s="823">
        <v>0</v>
      </c>
      <c r="S196" s="774">
        <v>0</v>
      </c>
      <c r="T196" s="774">
        <v>0</v>
      </c>
      <c r="U196" s="774">
        <v>0</v>
      </c>
      <c r="V196" s="774">
        <v>0</v>
      </c>
      <c r="W196" s="781">
        <v>0</v>
      </c>
      <c r="X196" s="774"/>
      <c r="Y196" s="774"/>
      <c r="Z196" s="785"/>
      <c r="AA196" s="695"/>
      <c r="AB196" s="581"/>
      <c r="AC196" s="581"/>
      <c r="AD196" s="581"/>
      <c r="AE196" s="581"/>
      <c r="AF196" s="581"/>
      <c r="AG196" s="581"/>
      <c r="AH196" s="581"/>
      <c r="AI196" s="581"/>
      <c r="AJ196" s="581"/>
      <c r="AK196" s="581"/>
      <c r="AL196" s="581"/>
      <c r="AM196" s="581"/>
      <c r="AN196" s="581"/>
      <c r="AO196" s="581"/>
      <c r="AP196" s="581"/>
      <c r="AQ196" s="581"/>
      <c r="AR196" s="581"/>
      <c r="AS196" s="581"/>
      <c r="AT196" s="581"/>
      <c r="AU196" s="581"/>
      <c r="AV196" s="581"/>
      <c r="AW196" s="581"/>
      <c r="AX196" s="581"/>
      <c r="AY196" s="581"/>
      <c r="AZ196" s="581"/>
      <c r="BA196" s="581"/>
      <c r="BB196" s="581"/>
      <c r="BC196" s="581"/>
      <c r="BD196" s="581"/>
      <c r="BE196" s="581"/>
      <c r="BF196" s="581"/>
      <c r="BG196" s="581"/>
      <c r="BH196" s="581"/>
      <c r="BI196" s="581"/>
      <c r="BJ196" s="581"/>
      <c r="BK196" s="581"/>
      <c r="BL196" s="581"/>
      <c r="BM196" s="581"/>
    </row>
    <row r="197" s="580" customFormat="1" ht="17.1" customHeight="1" outlineLevel="3" spans="1:65">
      <c r="A197" s="759"/>
      <c r="B197" s="786" t="s">
        <v>1120</v>
      </c>
      <c r="C197" s="787" t="s">
        <v>1032</v>
      </c>
      <c r="D197" s="763" t="s">
        <v>1121</v>
      </c>
      <c r="E197" s="479" t="s">
        <v>1119</v>
      </c>
      <c r="F197" s="479" t="s">
        <v>1100</v>
      </c>
      <c r="G197" s="788">
        <v>1</v>
      </c>
      <c r="H197" s="765" t="s">
        <v>655</v>
      </c>
      <c r="I197" s="301">
        <v>0</v>
      </c>
      <c r="J197" s="776">
        <v>2</v>
      </c>
      <c r="K197" s="805">
        <v>0</v>
      </c>
      <c r="L197" s="772">
        <v>0</v>
      </c>
      <c r="M197" s="772">
        <v>0</v>
      </c>
      <c r="N197" s="144">
        <v>0</v>
      </c>
      <c r="O197" s="774"/>
      <c r="P197" s="775"/>
      <c r="Q197" s="781">
        <v>0</v>
      </c>
      <c r="R197" s="823">
        <v>0</v>
      </c>
      <c r="S197" s="774">
        <v>0</v>
      </c>
      <c r="T197" s="774">
        <v>0</v>
      </c>
      <c r="U197" s="774">
        <v>0</v>
      </c>
      <c r="V197" s="774">
        <v>0</v>
      </c>
      <c r="W197" s="781">
        <v>0</v>
      </c>
      <c r="X197" s="774"/>
      <c r="Y197" s="774"/>
      <c r="Z197" s="785"/>
      <c r="AA197" s="695"/>
      <c r="AB197" s="581"/>
      <c r="AC197" s="581"/>
      <c r="AD197" s="581"/>
      <c r="AE197" s="581"/>
      <c r="AF197" s="581"/>
      <c r="AG197" s="581"/>
      <c r="AH197" s="581"/>
      <c r="AI197" s="581"/>
      <c r="AJ197" s="581"/>
      <c r="AK197" s="581"/>
      <c r="AL197" s="581"/>
      <c r="AM197" s="581"/>
      <c r="AN197" s="581"/>
      <c r="AO197" s="581"/>
      <c r="AP197" s="581"/>
      <c r="AQ197" s="581"/>
      <c r="AR197" s="581"/>
      <c r="AS197" s="581"/>
      <c r="AT197" s="581"/>
      <c r="AU197" s="581"/>
      <c r="AV197" s="581"/>
      <c r="AW197" s="581"/>
      <c r="AX197" s="581"/>
      <c r="AY197" s="581"/>
      <c r="AZ197" s="581"/>
      <c r="BA197" s="581"/>
      <c r="BB197" s="581"/>
      <c r="BC197" s="581"/>
      <c r="BD197" s="581"/>
      <c r="BE197" s="581"/>
      <c r="BF197" s="581"/>
      <c r="BG197" s="581"/>
      <c r="BH197" s="581"/>
      <c r="BI197" s="581"/>
      <c r="BJ197" s="581"/>
      <c r="BK197" s="581"/>
      <c r="BL197" s="581"/>
      <c r="BM197" s="581"/>
    </row>
    <row r="198" s="581" customFormat="1" ht="17.1" customHeight="1" outlineLevel="3" spans="2:27">
      <c r="B198" s="786" t="s">
        <v>1122</v>
      </c>
      <c r="C198" s="787" t="s">
        <v>1051</v>
      </c>
      <c r="D198" s="763" t="s">
        <v>1123</v>
      </c>
      <c r="E198" s="290"/>
      <c r="F198" s="290"/>
      <c r="G198" s="788"/>
      <c r="H198" s="765"/>
      <c r="I198" s="301"/>
      <c r="J198" s="776"/>
      <c r="K198" s="776">
        <v>0</v>
      </c>
      <c r="L198" s="772">
        <v>0</v>
      </c>
      <c r="M198" s="772">
        <v>0</v>
      </c>
      <c r="N198" s="144">
        <v>0</v>
      </c>
      <c r="O198" s="144"/>
      <c r="P198" s="777"/>
      <c r="Q198" s="824">
        <v>0</v>
      </c>
      <c r="R198" s="825">
        <v>0</v>
      </c>
      <c r="S198" s="826">
        <v>0</v>
      </c>
      <c r="T198" s="826">
        <v>0</v>
      </c>
      <c r="U198" s="826">
        <v>0</v>
      </c>
      <c r="V198" s="826">
        <v>0</v>
      </c>
      <c r="W198" s="827">
        <v>0</v>
      </c>
      <c r="X198" s="144"/>
      <c r="Y198" s="144"/>
      <c r="Z198" s="838"/>
      <c r="AA198" s="839"/>
    </row>
    <row r="199" s="581" customFormat="1" ht="17.1" customHeight="1" outlineLevel="3" spans="2:27">
      <c r="B199" s="786" t="s">
        <v>1124</v>
      </c>
      <c r="C199" s="787" t="s">
        <v>1059</v>
      </c>
      <c r="D199" s="763" t="s">
        <v>1125</v>
      </c>
      <c r="E199" s="290"/>
      <c r="F199" s="290"/>
      <c r="G199" s="788"/>
      <c r="H199" s="765"/>
      <c r="I199" s="301"/>
      <c r="J199" s="776"/>
      <c r="K199" s="776">
        <v>0</v>
      </c>
      <c r="L199" s="772">
        <v>0</v>
      </c>
      <c r="M199" s="772">
        <v>0</v>
      </c>
      <c r="N199" s="144">
        <v>0</v>
      </c>
      <c r="O199" s="144"/>
      <c r="P199" s="777"/>
      <c r="Q199" s="824">
        <v>0</v>
      </c>
      <c r="R199" s="825">
        <v>0</v>
      </c>
      <c r="S199" s="826">
        <v>0</v>
      </c>
      <c r="T199" s="826">
        <v>0</v>
      </c>
      <c r="U199" s="826">
        <v>0</v>
      </c>
      <c r="V199" s="826">
        <v>0</v>
      </c>
      <c r="W199" s="827">
        <v>0</v>
      </c>
      <c r="X199" s="144"/>
      <c r="Y199" s="144"/>
      <c r="Z199" s="838"/>
      <c r="AA199" s="839"/>
    </row>
    <row r="200" s="580" customFormat="1" ht="17.1" customHeight="1" outlineLevel="3" spans="1:65">
      <c r="A200" s="759"/>
      <c r="B200" s="786" t="s">
        <v>1126</v>
      </c>
      <c r="C200" s="787" t="s">
        <v>1051</v>
      </c>
      <c r="D200" s="763" t="s">
        <v>1127</v>
      </c>
      <c r="E200" s="479" t="s">
        <v>1128</v>
      </c>
      <c r="F200" s="479" t="s">
        <v>1100</v>
      </c>
      <c r="G200" s="764">
        <v>1</v>
      </c>
      <c r="H200" s="765" t="s">
        <v>655</v>
      </c>
      <c r="I200" s="301">
        <v>0</v>
      </c>
      <c r="J200" s="772">
        <v>0.612</v>
      </c>
      <c r="K200" s="805">
        <v>0</v>
      </c>
      <c r="L200" s="772">
        <v>0</v>
      </c>
      <c r="M200" s="772">
        <v>0</v>
      </c>
      <c r="N200" s="144">
        <v>0</v>
      </c>
      <c r="O200" s="774"/>
      <c r="P200" s="775"/>
      <c r="Q200" s="824">
        <v>0</v>
      </c>
      <c r="R200" s="825">
        <v>0</v>
      </c>
      <c r="S200" s="826">
        <v>0</v>
      </c>
      <c r="T200" s="826">
        <v>0</v>
      </c>
      <c r="U200" s="826">
        <v>0</v>
      </c>
      <c r="V200" s="826">
        <v>0</v>
      </c>
      <c r="W200" s="781">
        <v>0</v>
      </c>
      <c r="X200" s="774"/>
      <c r="Y200" s="774"/>
      <c r="Z200" s="785"/>
      <c r="AA200" s="695"/>
      <c r="AB200" s="581"/>
      <c r="AC200" s="581"/>
      <c r="AD200" s="581"/>
      <c r="AE200" s="581"/>
      <c r="AF200" s="581"/>
      <c r="AG200" s="581"/>
      <c r="AH200" s="581"/>
      <c r="AI200" s="581"/>
      <c r="AJ200" s="581"/>
      <c r="AK200" s="581"/>
      <c r="AL200" s="581"/>
      <c r="AM200" s="581"/>
      <c r="AN200" s="581"/>
      <c r="AO200" s="581"/>
      <c r="AP200" s="581"/>
      <c r="AQ200" s="581"/>
      <c r="AR200" s="581"/>
      <c r="AS200" s="581"/>
      <c r="AT200" s="581"/>
      <c r="AU200" s="581"/>
      <c r="AV200" s="581"/>
      <c r="AW200" s="581"/>
      <c r="AX200" s="581"/>
      <c r="AY200" s="581"/>
      <c r="AZ200" s="581"/>
      <c r="BA200" s="581"/>
      <c r="BB200" s="581"/>
      <c r="BC200" s="581"/>
      <c r="BD200" s="581"/>
      <c r="BE200" s="581"/>
      <c r="BF200" s="581"/>
      <c r="BG200" s="581"/>
      <c r="BH200" s="581"/>
      <c r="BI200" s="581"/>
      <c r="BJ200" s="581"/>
      <c r="BK200" s="581"/>
      <c r="BL200" s="581"/>
      <c r="BM200" s="581"/>
    </row>
    <row r="201" s="580" customFormat="1" ht="17.1" customHeight="1" outlineLevel="3" collapsed="1" spans="1:65">
      <c r="A201" s="759"/>
      <c r="B201" s="786" t="s">
        <v>1129</v>
      </c>
      <c r="C201" s="787" t="s">
        <v>1059</v>
      </c>
      <c r="D201" s="763" t="s">
        <v>1130</v>
      </c>
      <c r="E201" s="479"/>
      <c r="F201" s="370"/>
      <c r="G201" s="764"/>
      <c r="H201" s="765"/>
      <c r="I201" s="765"/>
      <c r="J201" s="772"/>
      <c r="K201" s="805">
        <v>0</v>
      </c>
      <c r="L201" s="772"/>
      <c r="M201" s="772"/>
      <c r="N201" s="144">
        <v>0</v>
      </c>
      <c r="O201" s="774" t="s">
        <v>1469</v>
      </c>
      <c r="P201" s="775"/>
      <c r="Q201" s="666">
        <v>0</v>
      </c>
      <c r="R201" s="680">
        <v>0</v>
      </c>
      <c r="S201" s="681">
        <v>0</v>
      </c>
      <c r="T201" s="681">
        <v>0</v>
      </c>
      <c r="U201" s="681">
        <v>0</v>
      </c>
      <c r="V201" s="681">
        <v>0</v>
      </c>
      <c r="W201" s="781">
        <v>0</v>
      </c>
      <c r="X201" s="774"/>
      <c r="Y201" s="774"/>
      <c r="Z201" s="785"/>
      <c r="AA201" s="695"/>
      <c r="AB201" s="581"/>
      <c r="AC201" s="581"/>
      <c r="AD201" s="581"/>
      <c r="AE201" s="581"/>
      <c r="AF201" s="581"/>
      <c r="AG201" s="581"/>
      <c r="AH201" s="581"/>
      <c r="AI201" s="581"/>
      <c r="AJ201" s="581"/>
      <c r="AK201" s="581"/>
      <c r="AL201" s="581"/>
      <c r="AM201" s="581"/>
      <c r="AN201" s="581"/>
      <c r="AO201" s="581"/>
      <c r="AP201" s="581"/>
      <c r="AQ201" s="581"/>
      <c r="AR201" s="581"/>
      <c r="AS201" s="581"/>
      <c r="AT201" s="581"/>
      <c r="AU201" s="581"/>
      <c r="AV201" s="581"/>
      <c r="AW201" s="581"/>
      <c r="AX201" s="581"/>
      <c r="AY201" s="581"/>
      <c r="AZ201" s="581"/>
      <c r="BA201" s="581"/>
      <c r="BB201" s="581"/>
      <c r="BC201" s="581"/>
      <c r="BD201" s="581"/>
      <c r="BE201" s="581"/>
      <c r="BF201" s="581"/>
      <c r="BG201" s="581"/>
      <c r="BH201" s="581"/>
      <c r="BI201" s="581"/>
      <c r="BJ201" s="581"/>
      <c r="BK201" s="581"/>
      <c r="BL201" s="581"/>
      <c r="BM201" s="581"/>
    </row>
    <row r="202" s="580" customFormat="1" ht="17.1" customHeight="1" outlineLevel="3" spans="1:65">
      <c r="A202" s="759"/>
      <c r="B202" s="786" t="s">
        <v>1131</v>
      </c>
      <c r="C202" s="612" t="s">
        <v>622</v>
      </c>
      <c r="D202" s="763" t="s">
        <v>1132</v>
      </c>
      <c r="E202" s="479" t="s">
        <v>1133</v>
      </c>
      <c r="F202" s="370"/>
      <c r="G202" s="764"/>
      <c r="H202" s="765"/>
      <c r="I202" s="765"/>
      <c r="J202" s="772"/>
      <c r="K202" s="497">
        <v>0.11</v>
      </c>
      <c r="L202" s="772">
        <v>0</v>
      </c>
      <c r="M202" s="772">
        <v>0</v>
      </c>
      <c r="N202" s="144">
        <v>0</v>
      </c>
      <c r="O202" s="774"/>
      <c r="P202" s="775"/>
      <c r="Q202" s="781">
        <v>0</v>
      </c>
      <c r="R202" s="823">
        <v>0</v>
      </c>
      <c r="S202" s="774">
        <v>0</v>
      </c>
      <c r="T202" s="774">
        <v>0</v>
      </c>
      <c r="U202" s="774">
        <v>0</v>
      </c>
      <c r="V202" s="774">
        <v>0</v>
      </c>
      <c r="W202" s="781">
        <v>0</v>
      </c>
      <c r="X202" s="774"/>
      <c r="Y202" s="774"/>
      <c r="Z202" s="785"/>
      <c r="AA202" s="695"/>
      <c r="AB202" s="581"/>
      <c r="AC202" s="581"/>
      <c r="AD202" s="581"/>
      <c r="AE202" s="581"/>
      <c r="AF202" s="581"/>
      <c r="AG202" s="581"/>
      <c r="AH202" s="581"/>
      <c r="AI202" s="581"/>
      <c r="AJ202" s="581"/>
      <c r="AK202" s="581"/>
      <c r="AL202" s="581"/>
      <c r="AM202" s="581"/>
      <c r="AN202" s="581"/>
      <c r="AO202" s="581"/>
      <c r="AP202" s="581"/>
      <c r="AQ202" s="581"/>
      <c r="AR202" s="581"/>
      <c r="AS202" s="581"/>
      <c r="AT202" s="581"/>
      <c r="AU202" s="581"/>
      <c r="AV202" s="581"/>
      <c r="AW202" s="581"/>
      <c r="AX202" s="581"/>
      <c r="AY202" s="581"/>
      <c r="AZ202" s="581"/>
      <c r="BA202" s="581"/>
      <c r="BB202" s="581"/>
      <c r="BC202" s="581"/>
      <c r="BD202" s="581"/>
      <c r="BE202" s="581"/>
      <c r="BF202" s="581"/>
      <c r="BG202" s="581"/>
      <c r="BH202" s="581"/>
      <c r="BI202" s="581"/>
      <c r="BJ202" s="581"/>
      <c r="BK202" s="581"/>
      <c r="BL202" s="581"/>
      <c r="BM202" s="581"/>
    </row>
    <row r="203" s="580" customFormat="1" ht="17.1" customHeight="1" outlineLevel="3" spans="1:65">
      <c r="A203" s="759"/>
      <c r="B203" s="786" t="s">
        <v>1134</v>
      </c>
      <c r="C203" s="612" t="s">
        <v>622</v>
      </c>
      <c r="D203" s="763" t="s">
        <v>1135</v>
      </c>
      <c r="E203" s="479"/>
      <c r="F203" s="370"/>
      <c r="G203" s="375"/>
      <c r="H203" s="765"/>
      <c r="I203" s="375"/>
      <c r="J203" s="772"/>
      <c r="K203" s="497">
        <v>0.11</v>
      </c>
      <c r="L203" s="772">
        <v>0</v>
      </c>
      <c r="M203" s="772">
        <v>0</v>
      </c>
      <c r="N203" s="144">
        <v>0</v>
      </c>
      <c r="O203" s="774"/>
      <c r="P203" s="775"/>
      <c r="Q203" s="666">
        <v>0</v>
      </c>
      <c r="R203" s="680">
        <v>0</v>
      </c>
      <c r="S203" s="681">
        <v>0</v>
      </c>
      <c r="T203" s="681">
        <v>0</v>
      </c>
      <c r="U203" s="681">
        <v>0</v>
      </c>
      <c r="V203" s="681">
        <v>0</v>
      </c>
      <c r="W203" s="781">
        <v>0</v>
      </c>
      <c r="X203" s="774"/>
      <c r="Y203" s="774"/>
      <c r="Z203" s="785"/>
      <c r="AA203" s="695"/>
      <c r="AB203" s="581"/>
      <c r="AC203" s="581"/>
      <c r="AD203" s="581"/>
      <c r="AE203" s="581"/>
      <c r="AF203" s="581"/>
      <c r="AG203" s="581"/>
      <c r="AH203" s="581"/>
      <c r="AI203" s="581"/>
      <c r="AJ203" s="581"/>
      <c r="AK203" s="581"/>
      <c r="AL203" s="581"/>
      <c r="AM203" s="581"/>
      <c r="AN203" s="581"/>
      <c r="AO203" s="581"/>
      <c r="AP203" s="581"/>
      <c r="AQ203" s="581"/>
      <c r="AR203" s="581"/>
      <c r="AS203" s="581"/>
      <c r="AT203" s="581"/>
      <c r="AU203" s="581"/>
      <c r="AV203" s="581"/>
      <c r="AW203" s="581"/>
      <c r="AX203" s="581"/>
      <c r="AY203" s="581"/>
      <c r="AZ203" s="581"/>
      <c r="BA203" s="581"/>
      <c r="BB203" s="581"/>
      <c r="BC203" s="581"/>
      <c r="BD203" s="581"/>
      <c r="BE203" s="581"/>
      <c r="BF203" s="581"/>
      <c r="BG203" s="581"/>
      <c r="BH203" s="581"/>
      <c r="BI203" s="581"/>
      <c r="BJ203" s="581"/>
      <c r="BK203" s="581"/>
      <c r="BL203" s="581"/>
      <c r="BM203" s="581"/>
    </row>
    <row r="204" s="580" customFormat="1" ht="17.1" customHeight="1" outlineLevel="3" spans="1:65">
      <c r="A204" s="759"/>
      <c r="B204" s="786" t="s">
        <v>1136</v>
      </c>
      <c r="C204" s="612" t="s">
        <v>622</v>
      </c>
      <c r="D204" s="763" t="s">
        <v>1137</v>
      </c>
      <c r="E204" s="479" t="s">
        <v>1133</v>
      </c>
      <c r="F204" s="370"/>
      <c r="G204" s="764"/>
      <c r="H204" s="765"/>
      <c r="I204" s="765"/>
      <c r="J204" s="772"/>
      <c r="K204" s="497">
        <v>0.11</v>
      </c>
      <c r="L204" s="772">
        <v>0</v>
      </c>
      <c r="M204" s="772">
        <v>0</v>
      </c>
      <c r="N204" s="144">
        <v>0</v>
      </c>
      <c r="O204" s="774" t="s">
        <v>1469</v>
      </c>
      <c r="P204" s="775"/>
      <c r="Q204" s="666">
        <v>0</v>
      </c>
      <c r="R204" s="680">
        <v>0</v>
      </c>
      <c r="S204" s="681">
        <v>0</v>
      </c>
      <c r="T204" s="681">
        <v>0</v>
      </c>
      <c r="U204" s="681">
        <v>0</v>
      </c>
      <c r="V204" s="681">
        <v>0</v>
      </c>
      <c r="W204" s="781">
        <v>0</v>
      </c>
      <c r="X204" s="774"/>
      <c r="Y204" s="774"/>
      <c r="Z204" s="785"/>
      <c r="AA204" s="695"/>
      <c r="AB204" s="581"/>
      <c r="AC204" s="581"/>
      <c r="AD204" s="581"/>
      <c r="AE204" s="581"/>
      <c r="AF204" s="581"/>
      <c r="AG204" s="581"/>
      <c r="AH204" s="581"/>
      <c r="AI204" s="581"/>
      <c r="AJ204" s="581"/>
      <c r="AK204" s="581"/>
      <c r="AL204" s="581"/>
      <c r="AM204" s="581"/>
      <c r="AN204" s="581"/>
      <c r="AO204" s="581"/>
      <c r="AP204" s="581"/>
      <c r="AQ204" s="581"/>
      <c r="AR204" s="581"/>
      <c r="AS204" s="581"/>
      <c r="AT204" s="581"/>
      <c r="AU204" s="581"/>
      <c r="AV204" s="581"/>
      <c r="AW204" s="581"/>
      <c r="AX204" s="581"/>
      <c r="AY204" s="581"/>
      <c r="AZ204" s="581"/>
      <c r="BA204" s="581"/>
      <c r="BB204" s="581"/>
      <c r="BC204" s="581"/>
      <c r="BD204" s="581"/>
      <c r="BE204" s="581"/>
      <c r="BF204" s="581"/>
      <c r="BG204" s="581"/>
      <c r="BH204" s="581"/>
      <c r="BI204" s="581"/>
      <c r="BJ204" s="581"/>
      <c r="BK204" s="581"/>
      <c r="BL204" s="581"/>
      <c r="BM204" s="581"/>
    </row>
    <row r="205" s="580" customFormat="1" ht="17.1" customHeight="1" outlineLevel="3" spans="1:65">
      <c r="A205" s="759"/>
      <c r="B205" s="786" t="s">
        <v>1138</v>
      </c>
      <c r="C205" s="612" t="s">
        <v>622</v>
      </c>
      <c r="D205" s="763" t="s">
        <v>1139</v>
      </c>
      <c r="E205" s="479"/>
      <c r="F205" s="479"/>
      <c r="G205" s="375"/>
      <c r="H205" s="765"/>
      <c r="I205" s="375"/>
      <c r="J205" s="776"/>
      <c r="K205" s="776"/>
      <c r="L205" s="772">
        <v>0</v>
      </c>
      <c r="M205" s="772">
        <v>0</v>
      </c>
      <c r="N205" s="144">
        <v>0</v>
      </c>
      <c r="O205" s="774" t="s">
        <v>1469</v>
      </c>
      <c r="P205" s="775"/>
      <c r="Q205" s="666">
        <v>0</v>
      </c>
      <c r="R205" s="680">
        <v>0</v>
      </c>
      <c r="S205" s="681">
        <v>0</v>
      </c>
      <c r="T205" s="681">
        <v>0</v>
      </c>
      <c r="U205" s="681">
        <v>0</v>
      </c>
      <c r="V205" s="681">
        <v>0</v>
      </c>
      <c r="W205" s="781">
        <v>0</v>
      </c>
      <c r="X205" s="774"/>
      <c r="Y205" s="774"/>
      <c r="Z205" s="785"/>
      <c r="AA205" s="695"/>
      <c r="AB205" s="581"/>
      <c r="AC205" s="581"/>
      <c r="AD205" s="581"/>
      <c r="AE205" s="581"/>
      <c r="AF205" s="581"/>
      <c r="AG205" s="581"/>
      <c r="AH205" s="581"/>
      <c r="AI205" s="581"/>
      <c r="AJ205" s="581"/>
      <c r="AK205" s="581"/>
      <c r="AL205" s="581"/>
      <c r="AM205" s="581"/>
      <c r="AN205" s="581"/>
      <c r="AO205" s="581"/>
      <c r="AP205" s="581"/>
      <c r="AQ205" s="581"/>
      <c r="AR205" s="581"/>
      <c r="AS205" s="581"/>
      <c r="AT205" s="581"/>
      <c r="AU205" s="581"/>
      <c r="AV205" s="581"/>
      <c r="AW205" s="581"/>
      <c r="AX205" s="581"/>
      <c r="AY205" s="581"/>
      <c r="AZ205" s="581"/>
      <c r="BA205" s="581"/>
      <c r="BB205" s="581"/>
      <c r="BC205" s="581"/>
      <c r="BD205" s="581"/>
      <c r="BE205" s="581"/>
      <c r="BF205" s="581"/>
      <c r="BG205" s="581"/>
      <c r="BH205" s="581"/>
      <c r="BI205" s="581"/>
      <c r="BJ205" s="581"/>
      <c r="BK205" s="581"/>
      <c r="BL205" s="581"/>
      <c r="BM205" s="581"/>
    </row>
    <row r="206" s="580" customFormat="1" ht="17.1" customHeight="1" outlineLevel="3" spans="1:65">
      <c r="A206" s="759"/>
      <c r="B206" s="786" t="s">
        <v>1140</v>
      </c>
      <c r="C206" s="612"/>
      <c r="D206" s="763" t="s">
        <v>1141</v>
      </c>
      <c r="E206" s="479"/>
      <c r="F206" s="479"/>
      <c r="G206" s="375"/>
      <c r="H206" s="765"/>
      <c r="I206" s="375"/>
      <c r="J206" s="776"/>
      <c r="K206" s="497">
        <v>0.11</v>
      </c>
      <c r="L206" s="772">
        <v>0</v>
      </c>
      <c r="M206" s="772">
        <v>0</v>
      </c>
      <c r="N206" s="144">
        <v>0</v>
      </c>
      <c r="O206" s="774" t="s">
        <v>1469</v>
      </c>
      <c r="P206" s="775"/>
      <c r="Q206" s="666">
        <v>0</v>
      </c>
      <c r="R206" s="680">
        <v>0</v>
      </c>
      <c r="S206" s="681">
        <v>0</v>
      </c>
      <c r="T206" s="681">
        <v>0</v>
      </c>
      <c r="U206" s="681">
        <v>0</v>
      </c>
      <c r="V206" s="681">
        <v>0</v>
      </c>
      <c r="W206" s="781">
        <v>0</v>
      </c>
      <c r="X206" s="774"/>
      <c r="Y206" s="774"/>
      <c r="Z206" s="785"/>
      <c r="AA206" s="695"/>
      <c r="AB206" s="581"/>
      <c r="AC206" s="581"/>
      <c r="AD206" s="581"/>
      <c r="AE206" s="581"/>
      <c r="AF206" s="581"/>
      <c r="AG206" s="581"/>
      <c r="AH206" s="581"/>
      <c r="AI206" s="581"/>
      <c r="AJ206" s="581"/>
      <c r="AK206" s="581"/>
      <c r="AL206" s="581"/>
      <c r="AM206" s="581"/>
      <c r="AN206" s="581"/>
      <c r="AO206" s="581"/>
      <c r="AP206" s="581"/>
      <c r="AQ206" s="581"/>
      <c r="AR206" s="581"/>
      <c r="AS206" s="581"/>
      <c r="AT206" s="581"/>
      <c r="AU206" s="581"/>
      <c r="AV206" s="581"/>
      <c r="AW206" s="581"/>
      <c r="AX206" s="581"/>
      <c r="AY206" s="581"/>
      <c r="AZ206" s="581"/>
      <c r="BA206" s="581"/>
      <c r="BB206" s="581"/>
      <c r="BC206" s="581"/>
      <c r="BD206" s="581"/>
      <c r="BE206" s="581"/>
      <c r="BF206" s="581"/>
      <c r="BG206" s="581"/>
      <c r="BH206" s="581"/>
      <c r="BI206" s="581"/>
      <c r="BJ206" s="581"/>
      <c r="BK206" s="581"/>
      <c r="BL206" s="581"/>
      <c r="BM206" s="581"/>
    </row>
    <row r="207" s="580" customFormat="1" ht="17.1" customHeight="1" outlineLevel="3" spans="1:65">
      <c r="A207" s="759"/>
      <c r="B207" s="786" t="s">
        <v>1521</v>
      </c>
      <c r="C207" s="612"/>
      <c r="D207" s="763" t="s">
        <v>1522</v>
      </c>
      <c r="E207" s="479"/>
      <c r="F207" s="479"/>
      <c r="G207" s="375"/>
      <c r="H207" s="765"/>
      <c r="I207" s="375"/>
      <c r="J207" s="776"/>
      <c r="K207" s="497">
        <v>0.11</v>
      </c>
      <c r="L207" s="772">
        <v>0</v>
      </c>
      <c r="M207" s="772">
        <v>0</v>
      </c>
      <c r="N207" s="144">
        <v>0</v>
      </c>
      <c r="O207" s="774"/>
      <c r="P207" s="775"/>
      <c r="Q207" s="781">
        <v>0</v>
      </c>
      <c r="R207" s="823">
        <v>0</v>
      </c>
      <c r="S207" s="774">
        <v>0</v>
      </c>
      <c r="T207" s="774">
        <v>0</v>
      </c>
      <c r="U207" s="774">
        <v>0</v>
      </c>
      <c r="V207" s="774">
        <v>0</v>
      </c>
      <c r="W207" s="781">
        <v>0</v>
      </c>
      <c r="X207" s="774"/>
      <c r="Y207" s="774"/>
      <c r="Z207" s="785"/>
      <c r="AA207" s="695"/>
      <c r="AB207" s="581"/>
      <c r="AC207" s="581"/>
      <c r="AD207" s="581"/>
      <c r="AE207" s="581"/>
      <c r="AF207" s="581"/>
      <c r="AG207" s="581"/>
      <c r="AH207" s="581"/>
      <c r="AI207" s="581"/>
      <c r="AJ207" s="581"/>
      <c r="AK207" s="581"/>
      <c r="AL207" s="581"/>
      <c r="AM207" s="581"/>
      <c r="AN207" s="581"/>
      <c r="AO207" s="581"/>
      <c r="AP207" s="581"/>
      <c r="AQ207" s="581"/>
      <c r="AR207" s="581"/>
      <c r="AS207" s="581"/>
      <c r="AT207" s="581"/>
      <c r="AU207" s="581"/>
      <c r="AV207" s="581"/>
      <c r="AW207" s="581"/>
      <c r="AX207" s="581"/>
      <c r="AY207" s="581"/>
      <c r="AZ207" s="581"/>
      <c r="BA207" s="581"/>
      <c r="BB207" s="581"/>
      <c r="BC207" s="581"/>
      <c r="BD207" s="581"/>
      <c r="BE207" s="581"/>
      <c r="BF207" s="581"/>
      <c r="BG207" s="581"/>
      <c r="BH207" s="581"/>
      <c r="BI207" s="581"/>
      <c r="BJ207" s="581"/>
      <c r="BK207" s="581"/>
      <c r="BL207" s="581"/>
      <c r="BM207" s="581"/>
    </row>
    <row r="208" s="580" customFormat="1" ht="17.1" customHeight="1" outlineLevel="3" spans="1:65">
      <c r="A208" s="759"/>
      <c r="B208" s="786" t="s">
        <v>1143</v>
      </c>
      <c r="C208" s="612" t="s">
        <v>622</v>
      </c>
      <c r="D208" s="763" t="s">
        <v>1144</v>
      </c>
      <c r="E208" s="479"/>
      <c r="F208" s="479"/>
      <c r="G208" s="375"/>
      <c r="H208" s="765"/>
      <c r="I208" s="375"/>
      <c r="J208" s="776"/>
      <c r="K208" s="497">
        <v>0.11</v>
      </c>
      <c r="L208" s="772">
        <v>0</v>
      </c>
      <c r="M208" s="772">
        <v>0</v>
      </c>
      <c r="N208" s="144">
        <v>0</v>
      </c>
      <c r="O208" s="774"/>
      <c r="P208" s="775"/>
      <c r="Q208" s="781">
        <v>0</v>
      </c>
      <c r="R208" s="823">
        <v>0</v>
      </c>
      <c r="S208" s="774">
        <v>0</v>
      </c>
      <c r="T208" s="774">
        <v>0</v>
      </c>
      <c r="U208" s="774">
        <v>0</v>
      </c>
      <c r="V208" s="774">
        <v>0</v>
      </c>
      <c r="W208" s="781">
        <v>0</v>
      </c>
      <c r="X208" s="774"/>
      <c r="Y208" s="774"/>
      <c r="Z208" s="785"/>
      <c r="AA208" s="695"/>
      <c r="AB208" s="581"/>
      <c r="AC208" s="581"/>
      <c r="AD208" s="581"/>
      <c r="AE208" s="581"/>
      <c r="AF208" s="581"/>
      <c r="AG208" s="581"/>
      <c r="AH208" s="581"/>
      <c r="AI208" s="581"/>
      <c r="AJ208" s="581"/>
      <c r="AK208" s="581"/>
      <c r="AL208" s="581"/>
      <c r="AM208" s="581"/>
      <c r="AN208" s="581"/>
      <c r="AO208" s="581"/>
      <c r="AP208" s="581"/>
      <c r="AQ208" s="581"/>
      <c r="AR208" s="581"/>
      <c r="AS208" s="581"/>
      <c r="AT208" s="581"/>
      <c r="AU208" s="581"/>
      <c r="AV208" s="581"/>
      <c r="AW208" s="581"/>
      <c r="AX208" s="581"/>
      <c r="AY208" s="581"/>
      <c r="AZ208" s="581"/>
      <c r="BA208" s="581"/>
      <c r="BB208" s="581"/>
      <c r="BC208" s="581"/>
      <c r="BD208" s="581"/>
      <c r="BE208" s="581"/>
      <c r="BF208" s="581"/>
      <c r="BG208" s="581"/>
      <c r="BH208" s="581"/>
      <c r="BI208" s="581"/>
      <c r="BJ208" s="581"/>
      <c r="BK208" s="581"/>
      <c r="BL208" s="581"/>
      <c r="BM208" s="581"/>
    </row>
    <row r="209" s="580" customFormat="1" ht="17.1" customHeight="1" outlineLevel="3" spans="1:65">
      <c r="A209" s="759"/>
      <c r="B209" s="786" t="s">
        <v>1145</v>
      </c>
      <c r="C209" s="612" t="s">
        <v>622</v>
      </c>
      <c r="D209" s="763" t="s">
        <v>1146</v>
      </c>
      <c r="E209" s="479" t="s">
        <v>1147</v>
      </c>
      <c r="F209" s="479" t="s">
        <v>1100</v>
      </c>
      <c r="G209" s="764">
        <v>1</v>
      </c>
      <c r="H209" s="765" t="s">
        <v>655</v>
      </c>
      <c r="I209" s="301">
        <v>0</v>
      </c>
      <c r="J209" s="776">
        <v>1.6</v>
      </c>
      <c r="K209" s="497">
        <v>0.03</v>
      </c>
      <c r="L209" s="772">
        <v>0</v>
      </c>
      <c r="M209" s="772">
        <v>0</v>
      </c>
      <c r="N209" s="144">
        <v>0</v>
      </c>
      <c r="O209" s="774"/>
      <c r="P209" s="775"/>
      <c r="Q209" s="781">
        <v>0</v>
      </c>
      <c r="R209" s="823">
        <v>0</v>
      </c>
      <c r="S209" s="774">
        <v>0</v>
      </c>
      <c r="T209" s="774">
        <v>0</v>
      </c>
      <c r="U209" s="774">
        <v>0</v>
      </c>
      <c r="V209" s="774">
        <v>0</v>
      </c>
      <c r="W209" s="781">
        <v>0</v>
      </c>
      <c r="X209" s="774"/>
      <c r="Y209" s="774"/>
      <c r="Z209" s="785"/>
      <c r="AA209" s="695"/>
      <c r="AB209" s="581"/>
      <c r="AC209" s="581"/>
      <c r="AD209" s="581"/>
      <c r="AE209" s="581"/>
      <c r="AF209" s="581"/>
      <c r="AG209" s="581"/>
      <c r="AH209" s="581"/>
      <c r="AI209" s="581"/>
      <c r="AJ209" s="581"/>
      <c r="AK209" s="581"/>
      <c r="AL209" s="581"/>
      <c r="AM209" s="581"/>
      <c r="AN209" s="581"/>
      <c r="AO209" s="581"/>
      <c r="AP209" s="581"/>
      <c r="AQ209" s="581"/>
      <c r="AR209" s="581"/>
      <c r="AS209" s="581"/>
      <c r="AT209" s="581"/>
      <c r="AU209" s="581"/>
      <c r="AV209" s="581"/>
      <c r="AW209" s="581"/>
      <c r="AX209" s="581"/>
      <c r="AY209" s="581"/>
      <c r="AZ209" s="581"/>
      <c r="BA209" s="581"/>
      <c r="BB209" s="581"/>
      <c r="BC209" s="581"/>
      <c r="BD209" s="581"/>
      <c r="BE209" s="581"/>
      <c r="BF209" s="581"/>
      <c r="BG209" s="581"/>
      <c r="BH209" s="581"/>
      <c r="BI209" s="581"/>
      <c r="BJ209" s="581"/>
      <c r="BK209" s="581"/>
      <c r="BL209" s="581"/>
      <c r="BM209" s="581"/>
    </row>
    <row r="210" s="580" customFormat="1" ht="17.1" customHeight="1" outlineLevel="3" spans="1:65">
      <c r="A210" s="759"/>
      <c r="B210" s="786" t="s">
        <v>1148</v>
      </c>
      <c r="C210" s="612" t="s">
        <v>622</v>
      </c>
      <c r="D210" s="763" t="s">
        <v>1149</v>
      </c>
      <c r="E210" s="766" t="s">
        <v>1150</v>
      </c>
      <c r="F210" s="479" t="s">
        <v>1100</v>
      </c>
      <c r="G210" s="764">
        <v>1</v>
      </c>
      <c r="H210" s="765" t="s">
        <v>655</v>
      </c>
      <c r="I210" s="301">
        <v>0</v>
      </c>
      <c r="J210" s="776">
        <v>0.5</v>
      </c>
      <c r="K210" s="497">
        <v>0.13</v>
      </c>
      <c r="L210" s="772">
        <v>0</v>
      </c>
      <c r="M210" s="772">
        <v>0</v>
      </c>
      <c r="N210" s="144">
        <v>0</v>
      </c>
      <c r="O210" s="774"/>
      <c r="P210" s="775"/>
      <c r="Q210" s="824">
        <v>0</v>
      </c>
      <c r="R210" s="825">
        <v>0</v>
      </c>
      <c r="S210" s="826">
        <v>0</v>
      </c>
      <c r="T210" s="826">
        <v>0</v>
      </c>
      <c r="U210" s="826">
        <v>0</v>
      </c>
      <c r="V210" s="826">
        <v>0</v>
      </c>
      <c r="W210" s="781">
        <v>0</v>
      </c>
      <c r="X210" s="774"/>
      <c r="Y210" s="774"/>
      <c r="Z210" s="785"/>
      <c r="AA210" s="695"/>
      <c r="AB210" s="581"/>
      <c r="AC210" s="581"/>
      <c r="AD210" s="581"/>
      <c r="AE210" s="581"/>
      <c r="AF210" s="581"/>
      <c r="AG210" s="581"/>
      <c r="AH210" s="581"/>
      <c r="AI210" s="581"/>
      <c r="AJ210" s="581"/>
      <c r="AK210" s="581"/>
      <c r="AL210" s="581"/>
      <c r="AM210" s="581"/>
      <c r="AN210" s="581"/>
      <c r="AO210" s="581"/>
      <c r="AP210" s="581"/>
      <c r="AQ210" s="581"/>
      <c r="AR210" s="581"/>
      <c r="AS210" s="581"/>
      <c r="AT210" s="581"/>
      <c r="AU210" s="581"/>
      <c r="AV210" s="581"/>
      <c r="AW210" s="581"/>
      <c r="AX210" s="581"/>
      <c r="AY210" s="581"/>
      <c r="AZ210" s="581"/>
      <c r="BA210" s="581"/>
      <c r="BB210" s="581"/>
      <c r="BC210" s="581"/>
      <c r="BD210" s="581"/>
      <c r="BE210" s="581"/>
      <c r="BF210" s="581"/>
      <c r="BG210" s="581"/>
      <c r="BH210" s="581"/>
      <c r="BI210" s="581"/>
      <c r="BJ210" s="581"/>
      <c r="BK210" s="581"/>
      <c r="BL210" s="581"/>
      <c r="BM210" s="581"/>
    </row>
    <row r="211" s="580" customFormat="1" ht="17.1" customHeight="1" outlineLevel="1" spans="1:65">
      <c r="A211" s="759"/>
      <c r="B211" s="760" t="s">
        <v>575</v>
      </c>
      <c r="C211" s="761">
        <v>4</v>
      </c>
      <c r="D211" s="505" t="s">
        <v>576</v>
      </c>
      <c r="E211" s="505"/>
      <c r="F211" s="193"/>
      <c r="G211" s="762"/>
      <c r="H211" s="762"/>
      <c r="I211" s="769"/>
      <c r="J211" s="770"/>
      <c r="K211" s="770"/>
      <c r="L211" s="771">
        <v>0</v>
      </c>
      <c r="M211" s="771">
        <v>0</v>
      </c>
      <c r="N211" s="771">
        <v>0</v>
      </c>
      <c r="O211" s="545"/>
      <c r="P211" s="804" t="s">
        <v>1452</v>
      </c>
      <c r="Q211" s="778">
        <v>0</v>
      </c>
      <c r="R211" s="779">
        <v>0</v>
      </c>
      <c r="S211" s="771">
        <v>0</v>
      </c>
      <c r="T211" s="771">
        <v>0</v>
      </c>
      <c r="U211" s="771">
        <v>0</v>
      </c>
      <c r="V211" s="771">
        <v>0</v>
      </c>
      <c r="W211" s="780">
        <v>0</v>
      </c>
      <c r="X211" s="545"/>
      <c r="Y211" s="545"/>
      <c r="Z211" s="783"/>
      <c r="AA211" s="784"/>
      <c r="AB211" s="581"/>
      <c r="AC211" s="581"/>
      <c r="AD211" s="581"/>
      <c r="AE211" s="581"/>
      <c r="AF211" s="581"/>
      <c r="AG211" s="581"/>
      <c r="AH211" s="581"/>
      <c r="AI211" s="581"/>
      <c r="AJ211" s="581"/>
      <c r="AK211" s="581"/>
      <c r="AL211" s="581"/>
      <c r="AM211" s="581"/>
      <c r="AN211" s="581"/>
      <c r="AO211" s="581"/>
      <c r="AP211" s="581"/>
      <c r="AQ211" s="581"/>
      <c r="AR211" s="581"/>
      <c r="AS211" s="581"/>
      <c r="AT211" s="581"/>
      <c r="AU211" s="581"/>
      <c r="AV211" s="581"/>
      <c r="AW211" s="581"/>
      <c r="AX211" s="581"/>
      <c r="AY211" s="581"/>
      <c r="AZ211" s="581"/>
      <c r="BA211" s="581"/>
      <c r="BB211" s="581"/>
      <c r="BC211" s="581"/>
      <c r="BD211" s="581"/>
      <c r="BE211" s="581"/>
      <c r="BF211" s="581"/>
      <c r="BG211" s="581"/>
      <c r="BH211" s="581"/>
      <c r="BI211" s="581"/>
      <c r="BJ211" s="581"/>
      <c r="BK211" s="581"/>
      <c r="BL211" s="581"/>
      <c r="BM211" s="581"/>
    </row>
    <row r="212" s="581" customFormat="1" ht="17.1" customHeight="1" outlineLevel="3" spans="2:27">
      <c r="B212" s="763" t="s">
        <v>1151</v>
      </c>
      <c r="C212" s="766" t="s">
        <v>619</v>
      </c>
      <c r="D212" s="763" t="s">
        <v>1152</v>
      </c>
      <c r="E212" s="766"/>
      <c r="F212" s="370"/>
      <c r="G212" s="375"/>
      <c r="H212" s="765"/>
      <c r="I212" s="375"/>
      <c r="J212" s="772"/>
      <c r="K212" s="772"/>
      <c r="L212" s="772"/>
      <c r="M212" s="772"/>
      <c r="N212" s="144">
        <v>0</v>
      </c>
      <c r="O212" s="806"/>
      <c r="P212" s="807"/>
      <c r="Q212" s="828">
        <v>0</v>
      </c>
      <c r="R212" s="829">
        <v>0</v>
      </c>
      <c r="S212" s="830">
        <v>0</v>
      </c>
      <c r="T212" s="830">
        <v>0</v>
      </c>
      <c r="U212" s="830">
        <v>0</v>
      </c>
      <c r="V212" s="830">
        <v>0</v>
      </c>
      <c r="W212" s="831">
        <v>0</v>
      </c>
      <c r="X212" s="806"/>
      <c r="Y212" s="806"/>
      <c r="Z212" s="840"/>
      <c r="AA212" s="841"/>
    </row>
    <row r="213" s="580" customFormat="1" ht="17.1" customHeight="1" outlineLevel="4" spans="1:65">
      <c r="A213" s="759"/>
      <c r="B213" s="598" t="s">
        <v>1153</v>
      </c>
      <c r="C213" s="599" t="s">
        <v>622</v>
      </c>
      <c r="D213" s="763" t="s">
        <v>1154</v>
      </c>
      <c r="E213" s="766"/>
      <c r="F213" s="290"/>
      <c r="G213" s="788"/>
      <c r="H213" s="375"/>
      <c r="I213" s="767"/>
      <c r="J213" s="772"/>
      <c r="K213" s="497">
        <v>0.11</v>
      </c>
      <c r="L213" s="772">
        <v>0</v>
      </c>
      <c r="M213" s="772">
        <v>0</v>
      </c>
      <c r="N213" s="475">
        <v>0</v>
      </c>
      <c r="O213" s="806" t="s">
        <v>1469</v>
      </c>
      <c r="P213" s="775"/>
      <c r="Q213" s="666">
        <v>0</v>
      </c>
      <c r="R213" s="680">
        <v>0</v>
      </c>
      <c r="S213" s="681">
        <v>0</v>
      </c>
      <c r="T213" s="681">
        <v>0</v>
      </c>
      <c r="U213" s="681">
        <v>0</v>
      </c>
      <c r="V213" s="681">
        <v>0</v>
      </c>
      <c r="W213" s="781">
        <v>0</v>
      </c>
      <c r="X213" s="774"/>
      <c r="Y213" s="774"/>
      <c r="Z213" s="785"/>
      <c r="AA213" s="695"/>
      <c r="AB213" s="581"/>
      <c r="AC213" s="581"/>
      <c r="AD213" s="581"/>
      <c r="AE213" s="581"/>
      <c r="AF213" s="581"/>
      <c r="AG213" s="581"/>
      <c r="AH213" s="581"/>
      <c r="AI213" s="581"/>
      <c r="AJ213" s="581"/>
      <c r="AK213" s="581"/>
      <c r="AL213" s="581"/>
      <c r="AM213" s="581"/>
      <c r="AN213" s="581"/>
      <c r="AO213" s="581"/>
      <c r="AP213" s="581"/>
      <c r="AQ213" s="581"/>
      <c r="AR213" s="581"/>
      <c r="AS213" s="581"/>
      <c r="AT213" s="581"/>
      <c r="AU213" s="581"/>
      <c r="AV213" s="581"/>
      <c r="AW213" s="581"/>
      <c r="AX213" s="581"/>
      <c r="AY213" s="581"/>
      <c r="AZ213" s="581"/>
      <c r="BA213" s="581"/>
      <c r="BB213" s="581"/>
      <c r="BC213" s="581"/>
      <c r="BD213" s="581"/>
      <c r="BE213" s="581"/>
      <c r="BF213" s="581"/>
      <c r="BG213" s="581"/>
      <c r="BH213" s="581"/>
      <c r="BI213" s="581"/>
      <c r="BJ213" s="581"/>
      <c r="BK213" s="581"/>
      <c r="BL213" s="581"/>
      <c r="BM213" s="581"/>
    </row>
    <row r="214" s="580" customFormat="1" ht="17.1" customHeight="1" outlineLevel="4" spans="1:65">
      <c r="A214" s="759"/>
      <c r="B214" s="598" t="s">
        <v>1157</v>
      </c>
      <c r="C214" s="599" t="s">
        <v>622</v>
      </c>
      <c r="D214" s="763" t="s">
        <v>1158</v>
      </c>
      <c r="E214" s="766"/>
      <c r="F214" s="290"/>
      <c r="G214" s="475"/>
      <c r="H214" s="375"/>
      <c r="I214" s="301"/>
      <c r="J214" s="776"/>
      <c r="K214" s="497">
        <v>0.11</v>
      </c>
      <c r="L214" s="772">
        <v>0</v>
      </c>
      <c r="M214" s="772">
        <v>0</v>
      </c>
      <c r="N214" s="475">
        <v>0</v>
      </c>
      <c r="O214" s="774"/>
      <c r="P214" s="775"/>
      <c r="Q214" s="781">
        <v>0</v>
      </c>
      <c r="R214" s="823">
        <v>0</v>
      </c>
      <c r="S214" s="774">
        <v>0</v>
      </c>
      <c r="T214" s="774">
        <v>0</v>
      </c>
      <c r="U214" s="774">
        <v>0</v>
      </c>
      <c r="V214" s="774">
        <v>0</v>
      </c>
      <c r="W214" s="781">
        <v>0</v>
      </c>
      <c r="X214" s="774"/>
      <c r="Y214" s="774"/>
      <c r="Z214" s="785"/>
      <c r="AA214" s="695"/>
      <c r="AB214" s="581"/>
      <c r="AC214" s="581"/>
      <c r="AD214" s="581"/>
      <c r="AE214" s="581"/>
      <c r="AF214" s="581"/>
      <c r="AG214" s="581"/>
      <c r="AH214" s="581"/>
      <c r="AI214" s="581"/>
      <c r="AJ214" s="581"/>
      <c r="AK214" s="581"/>
      <c r="AL214" s="581"/>
      <c r="AM214" s="581"/>
      <c r="AN214" s="581"/>
      <c r="AO214" s="581"/>
      <c r="AP214" s="581"/>
      <c r="AQ214" s="581"/>
      <c r="AR214" s="581"/>
      <c r="AS214" s="581"/>
      <c r="AT214" s="581"/>
      <c r="AU214" s="581"/>
      <c r="AV214" s="581"/>
      <c r="AW214" s="581"/>
      <c r="AX214" s="581"/>
      <c r="AY214" s="581"/>
      <c r="AZ214" s="581"/>
      <c r="BA214" s="581"/>
      <c r="BB214" s="581"/>
      <c r="BC214" s="581"/>
      <c r="BD214" s="581"/>
      <c r="BE214" s="581"/>
      <c r="BF214" s="581"/>
      <c r="BG214" s="581"/>
      <c r="BH214" s="581"/>
      <c r="BI214" s="581"/>
      <c r="BJ214" s="581"/>
      <c r="BK214" s="581"/>
      <c r="BL214" s="581"/>
      <c r="BM214" s="581"/>
    </row>
    <row r="215" s="580" customFormat="1" ht="17.1" customHeight="1" outlineLevel="4" spans="1:65">
      <c r="A215" s="759"/>
      <c r="B215" s="598" t="s">
        <v>1159</v>
      </c>
      <c r="C215" s="599" t="s">
        <v>622</v>
      </c>
      <c r="D215" s="763" t="s">
        <v>1160</v>
      </c>
      <c r="E215" s="766"/>
      <c r="F215" s="290"/>
      <c r="G215" s="475"/>
      <c r="H215" s="375"/>
      <c r="I215" s="301"/>
      <c r="J215" s="776"/>
      <c r="K215" s="497">
        <v>0.11</v>
      </c>
      <c r="L215" s="772">
        <v>0</v>
      </c>
      <c r="M215" s="772">
        <v>0</v>
      </c>
      <c r="N215" s="475">
        <v>0</v>
      </c>
      <c r="O215" s="774"/>
      <c r="P215" s="775"/>
      <c r="Q215" s="781">
        <v>0</v>
      </c>
      <c r="R215" s="823">
        <v>0</v>
      </c>
      <c r="S215" s="774">
        <v>0</v>
      </c>
      <c r="T215" s="774">
        <v>0</v>
      </c>
      <c r="U215" s="774">
        <v>0</v>
      </c>
      <c r="V215" s="774">
        <v>0</v>
      </c>
      <c r="W215" s="781">
        <v>0</v>
      </c>
      <c r="X215" s="774"/>
      <c r="Y215" s="774"/>
      <c r="Z215" s="785"/>
      <c r="AA215" s="695"/>
      <c r="AB215" s="581"/>
      <c r="AC215" s="581"/>
      <c r="AD215" s="581"/>
      <c r="AE215" s="581"/>
      <c r="AF215" s="581"/>
      <c r="AG215" s="581"/>
      <c r="AH215" s="581"/>
      <c r="AI215" s="581"/>
      <c r="AJ215" s="581"/>
      <c r="AK215" s="581"/>
      <c r="AL215" s="581"/>
      <c r="AM215" s="581"/>
      <c r="AN215" s="581"/>
      <c r="AO215" s="581"/>
      <c r="AP215" s="581"/>
      <c r="AQ215" s="581"/>
      <c r="AR215" s="581"/>
      <c r="AS215" s="581"/>
      <c r="AT215" s="581"/>
      <c r="AU215" s="581"/>
      <c r="AV215" s="581"/>
      <c r="AW215" s="581"/>
      <c r="AX215" s="581"/>
      <c r="AY215" s="581"/>
      <c r="AZ215" s="581"/>
      <c r="BA215" s="581"/>
      <c r="BB215" s="581"/>
      <c r="BC215" s="581"/>
      <c r="BD215" s="581"/>
      <c r="BE215" s="581"/>
      <c r="BF215" s="581"/>
      <c r="BG215" s="581"/>
      <c r="BH215" s="581"/>
      <c r="BI215" s="581"/>
      <c r="BJ215" s="581"/>
      <c r="BK215" s="581"/>
      <c r="BL215" s="581"/>
      <c r="BM215" s="581"/>
    </row>
    <row r="216" s="580" customFormat="1" ht="17.1" customHeight="1" outlineLevel="4" spans="1:65">
      <c r="A216" s="759"/>
      <c r="B216" s="598" t="s">
        <v>1161</v>
      </c>
      <c r="C216" s="599" t="s">
        <v>622</v>
      </c>
      <c r="D216" s="763" t="s">
        <v>1162</v>
      </c>
      <c r="E216" s="766"/>
      <c r="F216" s="290"/>
      <c r="G216" s="475"/>
      <c r="H216" s="375"/>
      <c r="I216" s="301"/>
      <c r="J216" s="776"/>
      <c r="K216" s="497">
        <v>0.11</v>
      </c>
      <c r="L216" s="772">
        <v>0</v>
      </c>
      <c r="M216" s="772">
        <v>0</v>
      </c>
      <c r="N216" s="475">
        <v>0</v>
      </c>
      <c r="O216" s="774"/>
      <c r="P216" s="775"/>
      <c r="Q216" s="781">
        <v>0</v>
      </c>
      <c r="R216" s="823">
        <v>0</v>
      </c>
      <c r="S216" s="774">
        <v>0</v>
      </c>
      <c r="T216" s="774">
        <v>0</v>
      </c>
      <c r="U216" s="774">
        <v>0</v>
      </c>
      <c r="V216" s="774">
        <v>0</v>
      </c>
      <c r="W216" s="781">
        <v>0</v>
      </c>
      <c r="X216" s="774"/>
      <c r="Y216" s="774"/>
      <c r="Z216" s="785"/>
      <c r="AA216" s="695"/>
      <c r="AB216" s="581"/>
      <c r="AC216" s="581"/>
      <c r="AD216" s="581"/>
      <c r="AE216" s="581"/>
      <c r="AF216" s="581"/>
      <c r="AG216" s="581"/>
      <c r="AH216" s="581"/>
      <c r="AI216" s="581"/>
      <c r="AJ216" s="581"/>
      <c r="AK216" s="581"/>
      <c r="AL216" s="581"/>
      <c r="AM216" s="581"/>
      <c r="AN216" s="581"/>
      <c r="AO216" s="581"/>
      <c r="AP216" s="581"/>
      <c r="AQ216" s="581"/>
      <c r="AR216" s="581"/>
      <c r="AS216" s="581"/>
      <c r="AT216" s="581"/>
      <c r="AU216" s="581"/>
      <c r="AV216" s="581"/>
      <c r="AW216" s="581"/>
      <c r="AX216" s="581"/>
      <c r="AY216" s="581"/>
      <c r="AZ216" s="581"/>
      <c r="BA216" s="581"/>
      <c r="BB216" s="581"/>
      <c r="BC216" s="581"/>
      <c r="BD216" s="581"/>
      <c r="BE216" s="581"/>
      <c r="BF216" s="581"/>
      <c r="BG216" s="581"/>
      <c r="BH216" s="581"/>
      <c r="BI216" s="581"/>
      <c r="BJ216" s="581"/>
      <c r="BK216" s="581"/>
      <c r="BL216" s="581"/>
      <c r="BM216" s="581"/>
    </row>
    <row r="217" s="580" customFormat="1" ht="17.1" customHeight="1" outlineLevel="4" spans="1:65">
      <c r="A217" s="759"/>
      <c r="B217" s="598" t="s">
        <v>1163</v>
      </c>
      <c r="C217" s="599" t="s">
        <v>622</v>
      </c>
      <c r="D217" s="763" t="s">
        <v>1164</v>
      </c>
      <c r="E217" s="766"/>
      <c r="F217" s="290"/>
      <c r="G217" s="475"/>
      <c r="H217" s="375"/>
      <c r="I217" s="301"/>
      <c r="J217" s="776"/>
      <c r="K217" s="497">
        <v>0.11</v>
      </c>
      <c r="L217" s="772">
        <v>0</v>
      </c>
      <c r="M217" s="772">
        <v>0</v>
      </c>
      <c r="N217" s="475">
        <v>0</v>
      </c>
      <c r="O217" s="774"/>
      <c r="P217" s="775"/>
      <c r="Q217" s="781">
        <v>0</v>
      </c>
      <c r="R217" s="823">
        <v>0</v>
      </c>
      <c r="S217" s="774">
        <v>0</v>
      </c>
      <c r="T217" s="774">
        <v>0</v>
      </c>
      <c r="U217" s="774">
        <v>0</v>
      </c>
      <c r="V217" s="774">
        <v>0</v>
      </c>
      <c r="W217" s="781">
        <v>0</v>
      </c>
      <c r="X217" s="774"/>
      <c r="Y217" s="774"/>
      <c r="Z217" s="785"/>
      <c r="AA217" s="695"/>
      <c r="AB217" s="581"/>
      <c r="AC217" s="581"/>
      <c r="AD217" s="581"/>
      <c r="AE217" s="581"/>
      <c r="AF217" s="581"/>
      <c r="AG217" s="581"/>
      <c r="AH217" s="581"/>
      <c r="AI217" s="581"/>
      <c r="AJ217" s="581"/>
      <c r="AK217" s="581"/>
      <c r="AL217" s="581"/>
      <c r="AM217" s="581"/>
      <c r="AN217" s="581"/>
      <c r="AO217" s="581"/>
      <c r="AP217" s="581"/>
      <c r="AQ217" s="581"/>
      <c r="AR217" s="581"/>
      <c r="AS217" s="581"/>
      <c r="AT217" s="581"/>
      <c r="AU217" s="581"/>
      <c r="AV217" s="581"/>
      <c r="AW217" s="581"/>
      <c r="AX217" s="581"/>
      <c r="AY217" s="581"/>
      <c r="AZ217" s="581"/>
      <c r="BA217" s="581"/>
      <c r="BB217" s="581"/>
      <c r="BC217" s="581"/>
      <c r="BD217" s="581"/>
      <c r="BE217" s="581"/>
      <c r="BF217" s="581"/>
      <c r="BG217" s="581"/>
      <c r="BH217" s="581"/>
      <c r="BI217" s="581"/>
      <c r="BJ217" s="581"/>
      <c r="BK217" s="581"/>
      <c r="BL217" s="581"/>
      <c r="BM217" s="581"/>
    </row>
    <row r="218" s="580" customFormat="1" ht="17.1" customHeight="1" outlineLevel="4" spans="1:65">
      <c r="A218" s="759"/>
      <c r="B218" s="598" t="s">
        <v>1165</v>
      </c>
      <c r="C218" s="599" t="s">
        <v>622</v>
      </c>
      <c r="D218" s="763" t="s">
        <v>1166</v>
      </c>
      <c r="E218" s="766"/>
      <c r="F218" s="290"/>
      <c r="G218" s="475"/>
      <c r="H218" s="375"/>
      <c r="I218" s="301"/>
      <c r="J218" s="776"/>
      <c r="K218" s="497">
        <v>0.11</v>
      </c>
      <c r="L218" s="772">
        <v>0</v>
      </c>
      <c r="M218" s="772">
        <v>0</v>
      </c>
      <c r="N218" s="475">
        <v>0</v>
      </c>
      <c r="O218" s="774"/>
      <c r="P218" s="775"/>
      <c r="Q218" s="781">
        <v>0</v>
      </c>
      <c r="R218" s="823">
        <v>0</v>
      </c>
      <c r="S218" s="774">
        <v>0</v>
      </c>
      <c r="T218" s="774">
        <v>0</v>
      </c>
      <c r="U218" s="774">
        <v>0</v>
      </c>
      <c r="V218" s="774">
        <v>0</v>
      </c>
      <c r="W218" s="781">
        <v>0</v>
      </c>
      <c r="X218" s="774"/>
      <c r="Y218" s="774"/>
      <c r="Z218" s="785"/>
      <c r="AA218" s="695"/>
      <c r="AB218" s="581"/>
      <c r="AC218" s="581"/>
      <c r="AD218" s="581"/>
      <c r="AE218" s="581"/>
      <c r="AF218" s="581"/>
      <c r="AG218" s="581"/>
      <c r="AH218" s="581"/>
      <c r="AI218" s="581"/>
      <c r="AJ218" s="581"/>
      <c r="AK218" s="581"/>
      <c r="AL218" s="581"/>
      <c r="AM218" s="581"/>
      <c r="AN218" s="581"/>
      <c r="AO218" s="581"/>
      <c r="AP218" s="581"/>
      <c r="AQ218" s="581"/>
      <c r="AR218" s="581"/>
      <c r="AS218" s="581"/>
      <c r="AT218" s="581"/>
      <c r="AU218" s="581"/>
      <c r="AV218" s="581"/>
      <c r="AW218" s="581"/>
      <c r="AX218" s="581"/>
      <c r="AY218" s="581"/>
      <c r="AZ218" s="581"/>
      <c r="BA218" s="581"/>
      <c r="BB218" s="581"/>
      <c r="BC218" s="581"/>
      <c r="BD218" s="581"/>
      <c r="BE218" s="581"/>
      <c r="BF218" s="581"/>
      <c r="BG218" s="581"/>
      <c r="BH218" s="581"/>
      <c r="BI218" s="581"/>
      <c r="BJ218" s="581"/>
      <c r="BK218" s="581"/>
      <c r="BL218" s="581"/>
      <c r="BM218" s="581"/>
    </row>
    <row r="219" s="580" customFormat="1" ht="17.1" customHeight="1" outlineLevel="3" spans="1:65">
      <c r="A219" s="759"/>
      <c r="B219" s="598" t="s">
        <v>1167</v>
      </c>
      <c r="C219" s="599" t="s">
        <v>657</v>
      </c>
      <c r="D219" s="763" t="s">
        <v>1168</v>
      </c>
      <c r="E219" s="766"/>
      <c r="F219" s="290"/>
      <c r="G219" s="375"/>
      <c r="H219" s="765"/>
      <c r="I219" s="375"/>
      <c r="J219" s="772"/>
      <c r="K219" s="772"/>
      <c r="L219" s="772"/>
      <c r="M219" s="772"/>
      <c r="N219" s="475">
        <v>0</v>
      </c>
      <c r="O219" s="774"/>
      <c r="P219" s="775"/>
      <c r="Q219" s="781">
        <v>0</v>
      </c>
      <c r="R219" s="823">
        <v>0</v>
      </c>
      <c r="S219" s="774">
        <v>0</v>
      </c>
      <c r="T219" s="774">
        <v>0</v>
      </c>
      <c r="U219" s="774">
        <v>0</v>
      </c>
      <c r="V219" s="774">
        <v>0</v>
      </c>
      <c r="W219" s="781">
        <v>0</v>
      </c>
      <c r="X219" s="774"/>
      <c r="Y219" s="774"/>
      <c r="Z219" s="785"/>
      <c r="AA219" s="695"/>
      <c r="AB219" s="581"/>
      <c r="AC219" s="581"/>
      <c r="AD219" s="581"/>
      <c r="AE219" s="581"/>
      <c r="AF219" s="581"/>
      <c r="AG219" s="581"/>
      <c r="AH219" s="581"/>
      <c r="AI219" s="581"/>
      <c r="AJ219" s="581"/>
      <c r="AK219" s="581"/>
      <c r="AL219" s="581"/>
      <c r="AM219" s="581"/>
      <c r="AN219" s="581"/>
      <c r="AO219" s="581"/>
      <c r="AP219" s="581"/>
      <c r="AQ219" s="581"/>
      <c r="AR219" s="581"/>
      <c r="AS219" s="581"/>
      <c r="AT219" s="581"/>
      <c r="AU219" s="581"/>
      <c r="AV219" s="581"/>
      <c r="AW219" s="581"/>
      <c r="AX219" s="581"/>
      <c r="AY219" s="581"/>
      <c r="AZ219" s="581"/>
      <c r="BA219" s="581"/>
      <c r="BB219" s="581"/>
      <c r="BC219" s="581"/>
      <c r="BD219" s="581"/>
      <c r="BE219" s="581"/>
      <c r="BF219" s="581"/>
      <c r="BG219" s="581"/>
      <c r="BH219" s="581"/>
      <c r="BI219" s="581"/>
      <c r="BJ219" s="581"/>
      <c r="BK219" s="581"/>
      <c r="BL219" s="581"/>
      <c r="BM219" s="581"/>
    </row>
    <row r="220" s="580" customFormat="1" ht="17.1" customHeight="1" outlineLevel="4" spans="1:65">
      <c r="A220" s="759"/>
      <c r="B220" s="598" t="s">
        <v>1170</v>
      </c>
      <c r="C220" s="599" t="s">
        <v>622</v>
      </c>
      <c r="D220" s="763" t="s">
        <v>1171</v>
      </c>
      <c r="E220" s="766"/>
      <c r="F220" s="290"/>
      <c r="G220" s="475"/>
      <c r="H220" s="375"/>
      <c r="I220" s="301"/>
      <c r="J220" s="776"/>
      <c r="K220" s="497">
        <v>0.11</v>
      </c>
      <c r="L220" s="772">
        <v>0</v>
      </c>
      <c r="M220" s="772">
        <v>0</v>
      </c>
      <c r="N220" s="475">
        <v>0</v>
      </c>
      <c r="O220" s="774" t="s">
        <v>1469</v>
      </c>
      <c r="P220" s="775"/>
      <c r="Q220" s="666">
        <v>0</v>
      </c>
      <c r="R220" s="680">
        <v>0</v>
      </c>
      <c r="S220" s="681">
        <v>0</v>
      </c>
      <c r="T220" s="681">
        <v>0</v>
      </c>
      <c r="U220" s="681">
        <v>0</v>
      </c>
      <c r="V220" s="681">
        <v>0</v>
      </c>
      <c r="W220" s="781">
        <v>0</v>
      </c>
      <c r="X220" s="774"/>
      <c r="Y220" s="774"/>
      <c r="Z220" s="785"/>
      <c r="AA220" s="695"/>
      <c r="AB220" s="581"/>
      <c r="AC220" s="581"/>
      <c r="AD220" s="581"/>
      <c r="AE220" s="581"/>
      <c r="AF220" s="581"/>
      <c r="AG220" s="581"/>
      <c r="AH220" s="581"/>
      <c r="AI220" s="581"/>
      <c r="AJ220" s="581"/>
      <c r="AK220" s="581"/>
      <c r="AL220" s="581"/>
      <c r="AM220" s="581"/>
      <c r="AN220" s="581"/>
      <c r="AO220" s="581"/>
      <c r="AP220" s="581"/>
      <c r="AQ220" s="581"/>
      <c r="AR220" s="581"/>
      <c r="AS220" s="581"/>
      <c r="AT220" s="581"/>
      <c r="AU220" s="581"/>
      <c r="AV220" s="581"/>
      <c r="AW220" s="581"/>
      <c r="AX220" s="581"/>
      <c r="AY220" s="581"/>
      <c r="AZ220" s="581"/>
      <c r="BA220" s="581"/>
      <c r="BB220" s="581"/>
      <c r="BC220" s="581"/>
      <c r="BD220" s="581"/>
      <c r="BE220" s="581"/>
      <c r="BF220" s="581"/>
      <c r="BG220" s="581"/>
      <c r="BH220" s="581"/>
      <c r="BI220" s="581"/>
      <c r="BJ220" s="581"/>
      <c r="BK220" s="581"/>
      <c r="BL220" s="581"/>
      <c r="BM220" s="581"/>
    </row>
    <row r="221" s="580" customFormat="1" ht="17.1" customHeight="1" outlineLevel="4" spans="1:65">
      <c r="A221" s="759"/>
      <c r="B221" s="598" t="s">
        <v>1173</v>
      </c>
      <c r="C221" s="599" t="s">
        <v>622</v>
      </c>
      <c r="D221" s="763" t="s">
        <v>1174</v>
      </c>
      <c r="E221" s="766"/>
      <c r="F221" s="375"/>
      <c r="G221" s="475"/>
      <c r="H221" s="375"/>
      <c r="I221" s="301"/>
      <c r="J221" s="776"/>
      <c r="K221" s="497">
        <v>0.11</v>
      </c>
      <c r="L221" s="772">
        <v>0</v>
      </c>
      <c r="M221" s="772">
        <v>0</v>
      </c>
      <c r="N221" s="475">
        <v>0</v>
      </c>
      <c r="O221" s="808"/>
      <c r="P221" s="775"/>
      <c r="Q221" s="781">
        <v>0</v>
      </c>
      <c r="R221" s="823">
        <v>0</v>
      </c>
      <c r="S221" s="774">
        <v>0</v>
      </c>
      <c r="T221" s="774">
        <v>0</v>
      </c>
      <c r="U221" s="774">
        <v>0</v>
      </c>
      <c r="V221" s="774">
        <v>0</v>
      </c>
      <c r="W221" s="781">
        <v>0</v>
      </c>
      <c r="X221" s="774"/>
      <c r="Y221" s="774"/>
      <c r="Z221" s="785"/>
      <c r="AA221" s="695"/>
      <c r="AB221" s="581"/>
      <c r="AC221" s="581"/>
      <c r="AD221" s="581"/>
      <c r="AE221" s="581"/>
      <c r="AF221" s="581"/>
      <c r="AG221" s="581"/>
      <c r="AH221" s="581"/>
      <c r="AI221" s="581"/>
      <c r="AJ221" s="581"/>
      <c r="AK221" s="581"/>
      <c r="AL221" s="581"/>
      <c r="AM221" s="581"/>
      <c r="AN221" s="581"/>
      <c r="AO221" s="581"/>
      <c r="AP221" s="581"/>
      <c r="AQ221" s="581"/>
      <c r="AR221" s="581"/>
      <c r="AS221" s="581"/>
      <c r="AT221" s="581"/>
      <c r="AU221" s="581"/>
      <c r="AV221" s="581"/>
      <c r="AW221" s="581"/>
      <c r="AX221" s="581"/>
      <c r="AY221" s="581"/>
      <c r="AZ221" s="581"/>
      <c r="BA221" s="581"/>
      <c r="BB221" s="581"/>
      <c r="BC221" s="581"/>
      <c r="BD221" s="581"/>
      <c r="BE221" s="581"/>
      <c r="BF221" s="581"/>
      <c r="BG221" s="581"/>
      <c r="BH221" s="581"/>
      <c r="BI221" s="581"/>
      <c r="BJ221" s="581"/>
      <c r="BK221" s="581"/>
      <c r="BL221" s="581"/>
      <c r="BM221" s="581"/>
    </row>
    <row r="222" s="580" customFormat="1" ht="17.1" customHeight="1" outlineLevel="4" spans="1:65">
      <c r="A222" s="759"/>
      <c r="B222" s="598" t="s">
        <v>1175</v>
      </c>
      <c r="C222" s="599" t="s">
        <v>622</v>
      </c>
      <c r="D222" s="763" t="s">
        <v>1176</v>
      </c>
      <c r="E222" s="766"/>
      <c r="F222" s="375"/>
      <c r="G222" s="475"/>
      <c r="H222" s="375"/>
      <c r="I222" s="301"/>
      <c r="J222" s="776"/>
      <c r="K222" s="497">
        <v>0.11</v>
      </c>
      <c r="L222" s="772">
        <v>0</v>
      </c>
      <c r="M222" s="772">
        <v>0</v>
      </c>
      <c r="N222" s="475">
        <v>0</v>
      </c>
      <c r="O222" s="808"/>
      <c r="P222" s="775"/>
      <c r="Q222" s="781">
        <v>0</v>
      </c>
      <c r="R222" s="823">
        <v>0</v>
      </c>
      <c r="S222" s="774">
        <v>0</v>
      </c>
      <c r="T222" s="774">
        <v>0</v>
      </c>
      <c r="U222" s="774">
        <v>0</v>
      </c>
      <c r="V222" s="774">
        <v>0</v>
      </c>
      <c r="W222" s="781">
        <v>0</v>
      </c>
      <c r="X222" s="774"/>
      <c r="Y222" s="774"/>
      <c r="Z222" s="785"/>
      <c r="AA222" s="695"/>
      <c r="AB222" s="581"/>
      <c r="AC222" s="581"/>
      <c r="AD222" s="581"/>
      <c r="AE222" s="581"/>
      <c r="AF222" s="581"/>
      <c r="AG222" s="581"/>
      <c r="AH222" s="581"/>
      <c r="AI222" s="581"/>
      <c r="AJ222" s="581"/>
      <c r="AK222" s="581"/>
      <c r="AL222" s="581"/>
      <c r="AM222" s="581"/>
      <c r="AN222" s="581"/>
      <c r="AO222" s="581"/>
      <c r="AP222" s="581"/>
      <c r="AQ222" s="581"/>
      <c r="AR222" s="581"/>
      <c r="AS222" s="581"/>
      <c r="AT222" s="581"/>
      <c r="AU222" s="581"/>
      <c r="AV222" s="581"/>
      <c r="AW222" s="581"/>
      <c r="AX222" s="581"/>
      <c r="AY222" s="581"/>
      <c r="AZ222" s="581"/>
      <c r="BA222" s="581"/>
      <c r="BB222" s="581"/>
      <c r="BC222" s="581"/>
      <c r="BD222" s="581"/>
      <c r="BE222" s="581"/>
      <c r="BF222" s="581"/>
      <c r="BG222" s="581"/>
      <c r="BH222" s="581"/>
      <c r="BI222" s="581"/>
      <c r="BJ222" s="581"/>
      <c r="BK222" s="581"/>
      <c r="BL222" s="581"/>
      <c r="BM222" s="581"/>
    </row>
    <row r="223" s="580" customFormat="1" ht="17.1" customHeight="1" outlineLevel="4" spans="1:65">
      <c r="A223" s="759"/>
      <c r="B223" s="598" t="s">
        <v>1177</v>
      </c>
      <c r="C223" s="599" t="s">
        <v>622</v>
      </c>
      <c r="D223" s="763" t="s">
        <v>1178</v>
      </c>
      <c r="E223" s="766"/>
      <c r="F223" s="375"/>
      <c r="G223" s="475"/>
      <c r="H223" s="375"/>
      <c r="I223" s="301"/>
      <c r="J223" s="776"/>
      <c r="K223" s="497">
        <v>0.11</v>
      </c>
      <c r="L223" s="772">
        <v>0</v>
      </c>
      <c r="M223" s="772">
        <v>0</v>
      </c>
      <c r="N223" s="475">
        <v>0</v>
      </c>
      <c r="O223" s="808"/>
      <c r="P223" s="775"/>
      <c r="Q223" s="781">
        <v>0</v>
      </c>
      <c r="R223" s="823">
        <v>0</v>
      </c>
      <c r="S223" s="774">
        <v>0</v>
      </c>
      <c r="T223" s="774">
        <v>0</v>
      </c>
      <c r="U223" s="774">
        <v>0</v>
      </c>
      <c r="V223" s="774">
        <v>0</v>
      </c>
      <c r="W223" s="781">
        <v>0</v>
      </c>
      <c r="X223" s="774"/>
      <c r="Y223" s="774"/>
      <c r="Z223" s="785"/>
      <c r="AA223" s="695"/>
      <c r="AB223" s="581"/>
      <c r="AC223" s="581"/>
      <c r="AD223" s="581"/>
      <c r="AE223" s="581"/>
      <c r="AF223" s="581"/>
      <c r="AG223" s="581"/>
      <c r="AH223" s="581"/>
      <c r="AI223" s="581"/>
      <c r="AJ223" s="581"/>
      <c r="AK223" s="581"/>
      <c r="AL223" s="581"/>
      <c r="AM223" s="581"/>
      <c r="AN223" s="581"/>
      <c r="AO223" s="581"/>
      <c r="AP223" s="581"/>
      <c r="AQ223" s="581"/>
      <c r="AR223" s="581"/>
      <c r="AS223" s="581"/>
      <c r="AT223" s="581"/>
      <c r="AU223" s="581"/>
      <c r="AV223" s="581"/>
      <c r="AW223" s="581"/>
      <c r="AX223" s="581"/>
      <c r="AY223" s="581"/>
      <c r="AZ223" s="581"/>
      <c r="BA223" s="581"/>
      <c r="BB223" s="581"/>
      <c r="BC223" s="581"/>
      <c r="BD223" s="581"/>
      <c r="BE223" s="581"/>
      <c r="BF223" s="581"/>
      <c r="BG223" s="581"/>
      <c r="BH223" s="581"/>
      <c r="BI223" s="581"/>
      <c r="BJ223" s="581"/>
      <c r="BK223" s="581"/>
      <c r="BL223" s="581"/>
      <c r="BM223" s="581"/>
    </row>
    <row r="224" s="580" customFormat="1" ht="17.1" customHeight="1" outlineLevel="4" spans="1:65">
      <c r="A224" s="759"/>
      <c r="B224" s="598" t="s">
        <v>1179</v>
      </c>
      <c r="C224" s="599" t="s">
        <v>622</v>
      </c>
      <c r="D224" s="763" t="s">
        <v>1180</v>
      </c>
      <c r="E224" s="766"/>
      <c r="F224" s="375"/>
      <c r="G224" s="475"/>
      <c r="H224" s="375"/>
      <c r="I224" s="301"/>
      <c r="J224" s="776"/>
      <c r="K224" s="497">
        <v>0.11</v>
      </c>
      <c r="L224" s="772">
        <v>0</v>
      </c>
      <c r="M224" s="772">
        <v>0</v>
      </c>
      <c r="N224" s="475">
        <v>0</v>
      </c>
      <c r="O224" s="808"/>
      <c r="P224" s="775"/>
      <c r="Q224" s="781">
        <v>0</v>
      </c>
      <c r="R224" s="823">
        <v>0</v>
      </c>
      <c r="S224" s="774">
        <v>0</v>
      </c>
      <c r="T224" s="774">
        <v>0</v>
      </c>
      <c r="U224" s="774">
        <v>0</v>
      </c>
      <c r="V224" s="774">
        <v>0</v>
      </c>
      <c r="W224" s="781">
        <v>0</v>
      </c>
      <c r="X224" s="774"/>
      <c r="Y224" s="774"/>
      <c r="Z224" s="785"/>
      <c r="AA224" s="695"/>
      <c r="AB224" s="581"/>
      <c r="AC224" s="581"/>
      <c r="AD224" s="581"/>
      <c r="AE224" s="581"/>
      <c r="AF224" s="581"/>
      <c r="AG224" s="581"/>
      <c r="AH224" s="581"/>
      <c r="AI224" s="581"/>
      <c r="AJ224" s="581"/>
      <c r="AK224" s="581"/>
      <c r="AL224" s="581"/>
      <c r="AM224" s="581"/>
      <c r="AN224" s="581"/>
      <c r="AO224" s="581"/>
      <c r="AP224" s="581"/>
      <c r="AQ224" s="581"/>
      <c r="AR224" s="581"/>
      <c r="AS224" s="581"/>
      <c r="AT224" s="581"/>
      <c r="AU224" s="581"/>
      <c r="AV224" s="581"/>
      <c r="AW224" s="581"/>
      <c r="AX224" s="581"/>
      <c r="AY224" s="581"/>
      <c r="AZ224" s="581"/>
      <c r="BA224" s="581"/>
      <c r="BB224" s="581"/>
      <c r="BC224" s="581"/>
      <c r="BD224" s="581"/>
      <c r="BE224" s="581"/>
      <c r="BF224" s="581"/>
      <c r="BG224" s="581"/>
      <c r="BH224" s="581"/>
      <c r="BI224" s="581"/>
      <c r="BJ224" s="581"/>
      <c r="BK224" s="581"/>
      <c r="BL224" s="581"/>
      <c r="BM224" s="581"/>
    </row>
    <row r="225" s="580" customFormat="1" ht="17.1" customHeight="1" outlineLevel="4" spans="1:65">
      <c r="A225" s="759"/>
      <c r="B225" s="598" t="s">
        <v>1181</v>
      </c>
      <c r="C225" s="599" t="s">
        <v>622</v>
      </c>
      <c r="D225" s="763" t="s">
        <v>1182</v>
      </c>
      <c r="E225" s="766"/>
      <c r="F225" s="375"/>
      <c r="G225" s="475"/>
      <c r="H225" s="375"/>
      <c r="I225" s="301"/>
      <c r="J225" s="776"/>
      <c r="K225" s="497">
        <v>0.11</v>
      </c>
      <c r="L225" s="772">
        <v>0</v>
      </c>
      <c r="M225" s="772">
        <v>0</v>
      </c>
      <c r="N225" s="475">
        <v>0</v>
      </c>
      <c r="O225" s="808"/>
      <c r="P225" s="775"/>
      <c r="Q225" s="781">
        <v>0</v>
      </c>
      <c r="R225" s="823">
        <v>0</v>
      </c>
      <c r="S225" s="774">
        <v>0</v>
      </c>
      <c r="T225" s="774">
        <v>0</v>
      </c>
      <c r="U225" s="774">
        <v>0</v>
      </c>
      <c r="V225" s="774">
        <v>0</v>
      </c>
      <c r="W225" s="781">
        <v>0</v>
      </c>
      <c r="X225" s="774"/>
      <c r="Y225" s="774"/>
      <c r="Z225" s="785"/>
      <c r="AA225" s="695"/>
      <c r="AB225" s="581"/>
      <c r="AC225" s="581"/>
      <c r="AD225" s="581"/>
      <c r="AE225" s="581"/>
      <c r="AF225" s="581"/>
      <c r="AG225" s="581"/>
      <c r="AH225" s="581"/>
      <c r="AI225" s="581"/>
      <c r="AJ225" s="581"/>
      <c r="AK225" s="581"/>
      <c r="AL225" s="581"/>
      <c r="AM225" s="581"/>
      <c r="AN225" s="581"/>
      <c r="AO225" s="581"/>
      <c r="AP225" s="581"/>
      <c r="AQ225" s="581"/>
      <c r="AR225" s="581"/>
      <c r="AS225" s="581"/>
      <c r="AT225" s="581"/>
      <c r="AU225" s="581"/>
      <c r="AV225" s="581"/>
      <c r="AW225" s="581"/>
      <c r="AX225" s="581"/>
      <c r="AY225" s="581"/>
      <c r="AZ225" s="581"/>
      <c r="BA225" s="581"/>
      <c r="BB225" s="581"/>
      <c r="BC225" s="581"/>
      <c r="BD225" s="581"/>
      <c r="BE225" s="581"/>
      <c r="BF225" s="581"/>
      <c r="BG225" s="581"/>
      <c r="BH225" s="581"/>
      <c r="BI225" s="581"/>
      <c r="BJ225" s="581"/>
      <c r="BK225" s="581"/>
      <c r="BL225" s="581"/>
      <c r="BM225" s="581"/>
    </row>
    <row r="226" s="580" customFormat="1" ht="17.1" customHeight="1" outlineLevel="3" spans="1:65">
      <c r="A226" s="759"/>
      <c r="B226" s="598" t="s">
        <v>1183</v>
      </c>
      <c r="C226" s="599" t="s">
        <v>762</v>
      </c>
      <c r="D226" s="763" t="s">
        <v>1184</v>
      </c>
      <c r="E226" s="766"/>
      <c r="F226" s="370"/>
      <c r="G226" s="375"/>
      <c r="H226" s="765"/>
      <c r="I226" s="375"/>
      <c r="J226" s="772"/>
      <c r="K226" s="772"/>
      <c r="L226" s="772"/>
      <c r="M226" s="772"/>
      <c r="N226" s="475">
        <v>0</v>
      </c>
      <c r="O226" s="808"/>
      <c r="P226" s="775"/>
      <c r="Q226" s="781">
        <v>0</v>
      </c>
      <c r="R226" s="823">
        <v>0</v>
      </c>
      <c r="S226" s="774">
        <v>0</v>
      </c>
      <c r="T226" s="774">
        <v>0</v>
      </c>
      <c r="U226" s="774">
        <v>0</v>
      </c>
      <c r="V226" s="774">
        <v>0</v>
      </c>
      <c r="W226" s="781">
        <v>0</v>
      </c>
      <c r="X226" s="774"/>
      <c r="Y226" s="774"/>
      <c r="Z226" s="785"/>
      <c r="AA226" s="695"/>
      <c r="AB226" s="581"/>
      <c r="AC226" s="581"/>
      <c r="AD226" s="581"/>
      <c r="AE226" s="581"/>
      <c r="AF226" s="581"/>
      <c r="AG226" s="581"/>
      <c r="AH226" s="581"/>
      <c r="AI226" s="581"/>
      <c r="AJ226" s="581"/>
      <c r="AK226" s="581"/>
      <c r="AL226" s="581"/>
      <c r="AM226" s="581"/>
      <c r="AN226" s="581"/>
      <c r="AO226" s="581"/>
      <c r="AP226" s="581"/>
      <c r="AQ226" s="581"/>
      <c r="AR226" s="581"/>
      <c r="AS226" s="581"/>
      <c r="AT226" s="581"/>
      <c r="AU226" s="581"/>
      <c r="AV226" s="581"/>
      <c r="AW226" s="581"/>
      <c r="AX226" s="581"/>
      <c r="AY226" s="581"/>
      <c r="AZ226" s="581"/>
      <c r="BA226" s="581"/>
      <c r="BB226" s="581"/>
      <c r="BC226" s="581"/>
      <c r="BD226" s="581"/>
      <c r="BE226" s="581"/>
      <c r="BF226" s="581"/>
      <c r="BG226" s="581"/>
      <c r="BH226" s="581"/>
      <c r="BI226" s="581"/>
      <c r="BJ226" s="581"/>
      <c r="BK226" s="581"/>
      <c r="BL226" s="581"/>
      <c r="BM226" s="581"/>
    </row>
    <row r="227" s="580" customFormat="1" ht="17.1" customHeight="1" outlineLevel="4" spans="1:65">
      <c r="A227" s="759"/>
      <c r="B227" s="598" t="s">
        <v>1186</v>
      </c>
      <c r="C227" s="599" t="s">
        <v>622</v>
      </c>
      <c r="D227" s="763" t="s">
        <v>1187</v>
      </c>
      <c r="E227" s="766"/>
      <c r="F227" s="717"/>
      <c r="G227" s="144"/>
      <c r="H227" s="717"/>
      <c r="I227" s="717"/>
      <c r="J227" s="809"/>
      <c r="K227" s="497">
        <v>0.11</v>
      </c>
      <c r="L227" s="772">
        <v>0</v>
      </c>
      <c r="M227" s="772">
        <v>0</v>
      </c>
      <c r="N227" s="475">
        <v>0</v>
      </c>
      <c r="O227" s="808"/>
      <c r="P227" s="775"/>
      <c r="Q227" s="781">
        <v>0</v>
      </c>
      <c r="R227" s="823">
        <v>0</v>
      </c>
      <c r="S227" s="774">
        <v>0</v>
      </c>
      <c r="T227" s="774">
        <v>0</v>
      </c>
      <c r="U227" s="774">
        <v>0</v>
      </c>
      <c r="V227" s="774">
        <v>0</v>
      </c>
      <c r="W227" s="781">
        <v>0</v>
      </c>
      <c r="X227" s="774"/>
      <c r="Y227" s="774"/>
      <c r="Z227" s="785"/>
      <c r="AA227" s="695"/>
      <c r="AB227" s="581"/>
      <c r="AC227" s="581"/>
      <c r="AD227" s="581"/>
      <c r="AE227" s="581"/>
      <c r="AF227" s="581"/>
      <c r="AG227" s="581"/>
      <c r="AH227" s="581"/>
      <c r="AI227" s="581"/>
      <c r="AJ227" s="581"/>
      <c r="AK227" s="581"/>
      <c r="AL227" s="581"/>
      <c r="AM227" s="581"/>
      <c r="AN227" s="581"/>
      <c r="AO227" s="581"/>
      <c r="AP227" s="581"/>
      <c r="AQ227" s="581"/>
      <c r="AR227" s="581"/>
      <c r="AS227" s="581"/>
      <c r="AT227" s="581"/>
      <c r="AU227" s="581"/>
      <c r="AV227" s="581"/>
      <c r="AW227" s="581"/>
      <c r="AX227" s="581"/>
      <c r="AY227" s="581"/>
      <c r="AZ227" s="581"/>
      <c r="BA227" s="581"/>
      <c r="BB227" s="581"/>
      <c r="BC227" s="581"/>
      <c r="BD227" s="581"/>
      <c r="BE227" s="581"/>
      <c r="BF227" s="581"/>
      <c r="BG227" s="581"/>
      <c r="BH227" s="581"/>
      <c r="BI227" s="581"/>
      <c r="BJ227" s="581"/>
      <c r="BK227" s="581"/>
      <c r="BL227" s="581"/>
      <c r="BM227" s="581"/>
    </row>
    <row r="228" s="580" customFormat="1" ht="17.1" customHeight="1" outlineLevel="4" spans="1:65">
      <c r="A228" s="759"/>
      <c r="B228" s="598" t="s">
        <v>1188</v>
      </c>
      <c r="C228" s="599" t="s">
        <v>622</v>
      </c>
      <c r="D228" s="763" t="s">
        <v>1189</v>
      </c>
      <c r="E228" s="766"/>
      <c r="F228" s="717"/>
      <c r="G228" s="144"/>
      <c r="H228" s="717"/>
      <c r="I228" s="717"/>
      <c r="J228" s="809"/>
      <c r="K228" s="497">
        <v>0.11</v>
      </c>
      <c r="L228" s="772">
        <v>0</v>
      </c>
      <c r="M228" s="772">
        <v>0</v>
      </c>
      <c r="N228" s="475">
        <v>0</v>
      </c>
      <c r="O228" s="808"/>
      <c r="P228" s="775"/>
      <c r="Q228" s="781">
        <v>0</v>
      </c>
      <c r="R228" s="823">
        <v>0</v>
      </c>
      <c r="S228" s="774">
        <v>0</v>
      </c>
      <c r="T228" s="774">
        <v>0</v>
      </c>
      <c r="U228" s="774">
        <v>0</v>
      </c>
      <c r="V228" s="774">
        <v>0</v>
      </c>
      <c r="W228" s="781">
        <v>0</v>
      </c>
      <c r="X228" s="774"/>
      <c r="Y228" s="774"/>
      <c r="Z228" s="785"/>
      <c r="AA228" s="695"/>
      <c r="AB228" s="581"/>
      <c r="AC228" s="581"/>
      <c r="AD228" s="581"/>
      <c r="AE228" s="581"/>
      <c r="AF228" s="581"/>
      <c r="AG228" s="581"/>
      <c r="AH228" s="581"/>
      <c r="AI228" s="581"/>
      <c r="AJ228" s="581"/>
      <c r="AK228" s="581"/>
      <c r="AL228" s="581"/>
      <c r="AM228" s="581"/>
      <c r="AN228" s="581"/>
      <c r="AO228" s="581"/>
      <c r="AP228" s="581"/>
      <c r="AQ228" s="581"/>
      <c r="AR228" s="581"/>
      <c r="AS228" s="581"/>
      <c r="AT228" s="581"/>
      <c r="AU228" s="581"/>
      <c r="AV228" s="581"/>
      <c r="AW228" s="581"/>
      <c r="AX228" s="581"/>
      <c r="AY228" s="581"/>
      <c r="AZ228" s="581"/>
      <c r="BA228" s="581"/>
      <c r="BB228" s="581"/>
      <c r="BC228" s="581"/>
      <c r="BD228" s="581"/>
      <c r="BE228" s="581"/>
      <c r="BF228" s="581"/>
      <c r="BG228" s="581"/>
      <c r="BH228" s="581"/>
      <c r="BI228" s="581"/>
      <c r="BJ228" s="581"/>
      <c r="BK228" s="581"/>
      <c r="BL228" s="581"/>
      <c r="BM228" s="581"/>
    </row>
    <row r="229" s="580" customFormat="1" ht="17.1" customHeight="1" outlineLevel="3" collapsed="1" spans="1:65">
      <c r="A229" s="759"/>
      <c r="B229" s="598" t="s">
        <v>1190</v>
      </c>
      <c r="C229" s="599" t="s">
        <v>778</v>
      </c>
      <c r="D229" s="763" t="s">
        <v>1191</v>
      </c>
      <c r="E229" s="766"/>
      <c r="F229" s="290"/>
      <c r="G229" s="375">
        <v>1</v>
      </c>
      <c r="H229" s="765"/>
      <c r="I229" s="375"/>
      <c r="J229" s="772"/>
      <c r="K229" s="772"/>
      <c r="L229" s="772"/>
      <c r="M229" s="772"/>
      <c r="N229" s="475">
        <v>0</v>
      </c>
      <c r="O229" s="808"/>
      <c r="P229" s="775"/>
      <c r="Q229" s="781">
        <v>0</v>
      </c>
      <c r="R229" s="823">
        <v>0</v>
      </c>
      <c r="S229" s="774">
        <v>0</v>
      </c>
      <c r="T229" s="774">
        <v>0</v>
      </c>
      <c r="U229" s="774">
        <v>0</v>
      </c>
      <c r="V229" s="774">
        <v>0</v>
      </c>
      <c r="W229" s="781">
        <v>0</v>
      </c>
      <c r="X229" s="774"/>
      <c r="Y229" s="774"/>
      <c r="Z229" s="785"/>
      <c r="AA229" s="695"/>
      <c r="AB229" s="581"/>
      <c r="AC229" s="581"/>
      <c r="AD229" s="581"/>
      <c r="AE229" s="581"/>
      <c r="AF229" s="581"/>
      <c r="AG229" s="581"/>
      <c r="AH229" s="581"/>
      <c r="AI229" s="581"/>
      <c r="AJ229" s="581"/>
      <c r="AK229" s="581"/>
      <c r="AL229" s="581"/>
      <c r="AM229" s="581"/>
      <c r="AN229" s="581"/>
      <c r="AO229" s="581"/>
      <c r="AP229" s="581"/>
      <c r="AQ229" s="581"/>
      <c r="AR229" s="581"/>
      <c r="AS229" s="581"/>
      <c r="AT229" s="581"/>
      <c r="AU229" s="581"/>
      <c r="AV229" s="581"/>
      <c r="AW229" s="581"/>
      <c r="AX229" s="581"/>
      <c r="AY229" s="581"/>
      <c r="AZ229" s="581"/>
      <c r="BA229" s="581"/>
      <c r="BB229" s="581"/>
      <c r="BC229" s="581"/>
      <c r="BD229" s="581"/>
      <c r="BE229" s="581"/>
      <c r="BF229" s="581"/>
      <c r="BG229" s="581"/>
      <c r="BH229" s="581"/>
      <c r="BI229" s="581"/>
      <c r="BJ229" s="581"/>
      <c r="BK229" s="581"/>
      <c r="BL229" s="581"/>
      <c r="BM229" s="581"/>
    </row>
    <row r="230" s="580" customFormat="1" ht="17.1" customHeight="1" outlineLevel="3" spans="1:65">
      <c r="A230" s="759"/>
      <c r="B230" s="598" t="s">
        <v>1193</v>
      </c>
      <c r="C230" s="599" t="s">
        <v>622</v>
      </c>
      <c r="D230" s="763" t="s">
        <v>1194</v>
      </c>
      <c r="E230" s="766"/>
      <c r="F230" s="290"/>
      <c r="G230" s="475"/>
      <c r="H230" s="375"/>
      <c r="I230" s="301"/>
      <c r="J230" s="776"/>
      <c r="K230" s="497">
        <v>0.11</v>
      </c>
      <c r="L230" s="772">
        <v>0</v>
      </c>
      <c r="M230" s="772">
        <v>0</v>
      </c>
      <c r="N230" s="475">
        <v>0</v>
      </c>
      <c r="O230" s="808" t="s">
        <v>1469</v>
      </c>
      <c r="P230" s="775"/>
      <c r="Q230" s="666">
        <v>0</v>
      </c>
      <c r="R230" s="680">
        <v>0</v>
      </c>
      <c r="S230" s="681">
        <v>0</v>
      </c>
      <c r="T230" s="681">
        <v>0</v>
      </c>
      <c r="U230" s="681">
        <v>0</v>
      </c>
      <c r="V230" s="681">
        <v>0</v>
      </c>
      <c r="W230" s="781">
        <v>0</v>
      </c>
      <c r="X230" s="774"/>
      <c r="Y230" s="774"/>
      <c r="Z230" s="785"/>
      <c r="AA230" s="695"/>
      <c r="AB230" s="581"/>
      <c r="AC230" s="581"/>
      <c r="AD230" s="581"/>
      <c r="AE230" s="581"/>
      <c r="AF230" s="581"/>
      <c r="AG230" s="581"/>
      <c r="AH230" s="581"/>
      <c r="AI230" s="581"/>
      <c r="AJ230" s="581"/>
      <c r="AK230" s="581"/>
      <c r="AL230" s="581"/>
      <c r="AM230" s="581"/>
      <c r="AN230" s="581"/>
      <c r="AO230" s="581"/>
      <c r="AP230" s="581"/>
      <c r="AQ230" s="581"/>
      <c r="AR230" s="581"/>
      <c r="AS230" s="581"/>
      <c r="AT230" s="581"/>
      <c r="AU230" s="581"/>
      <c r="AV230" s="581"/>
      <c r="AW230" s="581"/>
      <c r="AX230" s="581"/>
      <c r="AY230" s="581"/>
      <c r="AZ230" s="581"/>
      <c r="BA230" s="581"/>
      <c r="BB230" s="581"/>
      <c r="BC230" s="581"/>
      <c r="BD230" s="581"/>
      <c r="BE230" s="581"/>
      <c r="BF230" s="581"/>
      <c r="BG230" s="581"/>
      <c r="BH230" s="581"/>
      <c r="BI230" s="581"/>
      <c r="BJ230" s="581"/>
      <c r="BK230" s="581"/>
      <c r="BL230" s="581"/>
      <c r="BM230" s="581"/>
    </row>
    <row r="231" s="580" customFormat="1" ht="17.1" customHeight="1" outlineLevel="3" spans="1:65">
      <c r="A231" s="759"/>
      <c r="B231" s="598" t="s">
        <v>1195</v>
      </c>
      <c r="C231" s="599" t="s">
        <v>622</v>
      </c>
      <c r="D231" s="763" t="s">
        <v>1196</v>
      </c>
      <c r="E231" s="766"/>
      <c r="F231" s="290"/>
      <c r="G231" s="475"/>
      <c r="H231" s="375"/>
      <c r="I231" s="301"/>
      <c r="J231" s="776"/>
      <c r="K231" s="497">
        <v>0.11</v>
      </c>
      <c r="L231" s="772">
        <v>0</v>
      </c>
      <c r="M231" s="772">
        <v>0</v>
      </c>
      <c r="N231" s="475">
        <v>0</v>
      </c>
      <c r="O231" s="774"/>
      <c r="P231" s="775"/>
      <c r="Q231" s="781">
        <v>0</v>
      </c>
      <c r="R231" s="823">
        <v>0</v>
      </c>
      <c r="S231" s="774">
        <v>0</v>
      </c>
      <c r="T231" s="774">
        <v>0</v>
      </c>
      <c r="U231" s="774">
        <v>0</v>
      </c>
      <c r="V231" s="774">
        <v>0</v>
      </c>
      <c r="W231" s="781">
        <v>0</v>
      </c>
      <c r="X231" s="774"/>
      <c r="Y231" s="774"/>
      <c r="Z231" s="785"/>
      <c r="AA231" s="695"/>
      <c r="AB231" s="581"/>
      <c r="AC231" s="581"/>
      <c r="AD231" s="581"/>
      <c r="AE231" s="581"/>
      <c r="AF231" s="581"/>
      <c r="AG231" s="581"/>
      <c r="AH231" s="581"/>
      <c r="AI231" s="581"/>
      <c r="AJ231" s="581"/>
      <c r="AK231" s="581"/>
      <c r="AL231" s="581"/>
      <c r="AM231" s="581"/>
      <c r="AN231" s="581"/>
      <c r="AO231" s="581"/>
      <c r="AP231" s="581"/>
      <c r="AQ231" s="581"/>
      <c r="AR231" s="581"/>
      <c r="AS231" s="581"/>
      <c r="AT231" s="581"/>
      <c r="AU231" s="581"/>
      <c r="AV231" s="581"/>
      <c r="AW231" s="581"/>
      <c r="AX231" s="581"/>
      <c r="AY231" s="581"/>
      <c r="AZ231" s="581"/>
      <c r="BA231" s="581"/>
      <c r="BB231" s="581"/>
      <c r="BC231" s="581"/>
      <c r="BD231" s="581"/>
      <c r="BE231" s="581"/>
      <c r="BF231" s="581"/>
      <c r="BG231" s="581"/>
      <c r="BH231" s="581"/>
      <c r="BI231" s="581"/>
      <c r="BJ231" s="581"/>
      <c r="BK231" s="581"/>
      <c r="BL231" s="581"/>
      <c r="BM231" s="581"/>
    </row>
    <row r="232" s="580" customFormat="1" ht="17.1" customHeight="1" outlineLevel="1" spans="1:65">
      <c r="A232" s="759"/>
      <c r="B232" s="760" t="s">
        <v>577</v>
      </c>
      <c r="C232" s="761">
        <v>5</v>
      </c>
      <c r="D232" s="505" t="s">
        <v>578</v>
      </c>
      <c r="E232" s="505" t="s">
        <v>1523</v>
      </c>
      <c r="F232" s="193"/>
      <c r="G232" s="789">
        <v>1</v>
      </c>
      <c r="H232" s="789"/>
      <c r="I232" s="810">
        <v>0</v>
      </c>
      <c r="J232" s="811">
        <v>10</v>
      </c>
      <c r="K232" s="812">
        <v>0.06</v>
      </c>
      <c r="L232" s="813">
        <v>0</v>
      </c>
      <c r="M232" s="813">
        <v>0</v>
      </c>
      <c r="N232" s="533">
        <v>0</v>
      </c>
      <c r="O232" s="774"/>
      <c r="P232" s="775"/>
      <c r="Q232" s="781">
        <v>0</v>
      </c>
      <c r="R232" s="823">
        <v>0</v>
      </c>
      <c r="S232" s="774">
        <v>0</v>
      </c>
      <c r="T232" s="774">
        <v>0</v>
      </c>
      <c r="U232" s="774">
        <v>0</v>
      </c>
      <c r="V232" s="774">
        <v>0</v>
      </c>
      <c r="W232" s="781">
        <v>0</v>
      </c>
      <c r="X232" s="774"/>
      <c r="Y232" s="774"/>
      <c r="Z232" s="785"/>
      <c r="AA232" s="695"/>
      <c r="AB232" s="581"/>
      <c r="AC232" s="581"/>
      <c r="AD232" s="581"/>
      <c r="AE232" s="581"/>
      <c r="AF232" s="581"/>
      <c r="AG232" s="581"/>
      <c r="AH232" s="581"/>
      <c r="AI232" s="581"/>
      <c r="AJ232" s="581"/>
      <c r="AK232" s="581"/>
      <c r="AL232" s="581"/>
      <c r="AM232" s="581"/>
      <c r="AN232" s="581"/>
      <c r="AO232" s="581"/>
      <c r="AP232" s="581"/>
      <c r="AQ232" s="581"/>
      <c r="AR232" s="581"/>
      <c r="AS232" s="581"/>
      <c r="AT232" s="581"/>
      <c r="AU232" s="581"/>
      <c r="AV232" s="581"/>
      <c r="AW232" s="581"/>
      <c r="AX232" s="581"/>
      <c r="AY232" s="581"/>
      <c r="AZ232" s="581"/>
      <c r="BA232" s="581"/>
      <c r="BB232" s="581"/>
      <c r="BC232" s="581"/>
      <c r="BD232" s="581"/>
      <c r="BE232" s="581"/>
      <c r="BF232" s="581"/>
      <c r="BG232" s="581"/>
      <c r="BH232" s="581"/>
      <c r="BI232" s="581"/>
      <c r="BJ232" s="581"/>
      <c r="BK232" s="581"/>
      <c r="BL232" s="581"/>
      <c r="BM232" s="581"/>
    </row>
    <row r="233" s="580" customFormat="1" ht="17.1" customHeight="1" outlineLevel="1" spans="1:65">
      <c r="A233" s="759"/>
      <c r="B233" s="760" t="s">
        <v>580</v>
      </c>
      <c r="C233" s="761">
        <v>6</v>
      </c>
      <c r="D233" s="505" t="s">
        <v>581</v>
      </c>
      <c r="E233" s="505"/>
      <c r="F233" s="193"/>
      <c r="G233" s="762"/>
      <c r="H233" s="762"/>
      <c r="I233" s="769"/>
      <c r="J233" s="770"/>
      <c r="K233" s="770"/>
      <c r="L233" s="771">
        <v>0</v>
      </c>
      <c r="M233" s="771">
        <v>0</v>
      </c>
      <c r="N233" s="771">
        <v>0</v>
      </c>
      <c r="O233" s="774"/>
      <c r="P233" s="775"/>
      <c r="Q233" s="781">
        <v>0</v>
      </c>
      <c r="R233" s="823">
        <v>0</v>
      </c>
      <c r="S233" s="774">
        <v>0</v>
      </c>
      <c r="T233" s="774">
        <v>0</v>
      </c>
      <c r="U233" s="774">
        <v>0</v>
      </c>
      <c r="V233" s="774">
        <v>0</v>
      </c>
      <c r="W233" s="781">
        <v>0</v>
      </c>
      <c r="X233" s="774"/>
      <c r="Y233" s="774"/>
      <c r="Z233" s="785"/>
      <c r="AA233" s="695"/>
      <c r="AB233" s="581"/>
      <c r="AC233" s="581"/>
      <c r="AD233" s="581"/>
      <c r="AE233" s="581"/>
      <c r="AF233" s="581"/>
      <c r="AG233" s="581"/>
      <c r="AH233" s="581"/>
      <c r="AI233" s="581"/>
      <c r="AJ233" s="581"/>
      <c r="AK233" s="581"/>
      <c r="AL233" s="581"/>
      <c r="AM233" s="581"/>
      <c r="AN233" s="581"/>
      <c r="AO233" s="581"/>
      <c r="AP233" s="581"/>
      <c r="AQ233" s="581"/>
      <c r="AR233" s="581"/>
      <c r="AS233" s="581"/>
      <c r="AT233" s="581"/>
      <c r="AU233" s="581"/>
      <c r="AV233" s="581"/>
      <c r="AW233" s="581"/>
      <c r="AX233" s="581"/>
      <c r="AY233" s="581"/>
      <c r="AZ233" s="581"/>
      <c r="BA233" s="581"/>
      <c r="BB233" s="581"/>
      <c r="BC233" s="581"/>
      <c r="BD233" s="581"/>
      <c r="BE233" s="581"/>
      <c r="BF233" s="581"/>
      <c r="BG233" s="581"/>
      <c r="BH233" s="581"/>
      <c r="BI233" s="581"/>
      <c r="BJ233" s="581"/>
      <c r="BK233" s="581"/>
      <c r="BL233" s="581"/>
      <c r="BM233" s="581"/>
    </row>
    <row r="234" s="580" customFormat="1" ht="17.1" customHeight="1" outlineLevel="2" spans="1:65">
      <c r="A234" s="759"/>
      <c r="B234" s="786" t="s">
        <v>1200</v>
      </c>
      <c r="C234" s="787" t="s">
        <v>619</v>
      </c>
      <c r="D234" s="790" t="s">
        <v>1201</v>
      </c>
      <c r="E234" s="791"/>
      <c r="F234" s="370"/>
      <c r="G234" s="764"/>
      <c r="H234" s="765"/>
      <c r="I234" s="765"/>
      <c r="J234" s="772"/>
      <c r="K234" s="497">
        <v>0.11</v>
      </c>
      <c r="L234" s="772">
        <v>0</v>
      </c>
      <c r="M234" s="772">
        <v>0</v>
      </c>
      <c r="N234" s="475">
        <v>0</v>
      </c>
      <c r="O234" s="774" t="s">
        <v>1469</v>
      </c>
      <c r="P234" s="775"/>
      <c r="Q234" s="666">
        <v>0</v>
      </c>
      <c r="R234" s="680">
        <v>0</v>
      </c>
      <c r="S234" s="681">
        <v>0</v>
      </c>
      <c r="T234" s="681">
        <v>0</v>
      </c>
      <c r="U234" s="681">
        <v>0</v>
      </c>
      <c r="V234" s="681">
        <v>0</v>
      </c>
      <c r="W234" s="781">
        <v>0</v>
      </c>
      <c r="X234" s="774"/>
      <c r="Y234" s="774"/>
      <c r="Z234" s="785"/>
      <c r="AA234" s="695"/>
      <c r="AB234" s="581"/>
      <c r="AC234" s="581"/>
      <c r="AD234" s="581"/>
      <c r="AE234" s="581"/>
      <c r="AF234" s="581"/>
      <c r="AG234" s="581"/>
      <c r="AH234" s="581"/>
      <c r="AI234" s="581"/>
      <c r="AJ234" s="581"/>
      <c r="AK234" s="581"/>
      <c r="AL234" s="581"/>
      <c r="AM234" s="581"/>
      <c r="AN234" s="581"/>
      <c r="AO234" s="581"/>
      <c r="AP234" s="581"/>
      <c r="AQ234" s="581"/>
      <c r="AR234" s="581"/>
      <c r="AS234" s="581"/>
      <c r="AT234" s="581"/>
      <c r="AU234" s="581"/>
      <c r="AV234" s="581"/>
      <c r="AW234" s="581"/>
      <c r="AX234" s="581"/>
      <c r="AY234" s="581"/>
      <c r="AZ234" s="581"/>
      <c r="BA234" s="581"/>
      <c r="BB234" s="581"/>
      <c r="BC234" s="581"/>
      <c r="BD234" s="581"/>
      <c r="BE234" s="581"/>
      <c r="BF234" s="581"/>
      <c r="BG234" s="581"/>
      <c r="BH234" s="581"/>
      <c r="BI234" s="581"/>
      <c r="BJ234" s="581"/>
      <c r="BK234" s="581"/>
      <c r="BL234" s="581"/>
      <c r="BM234" s="581"/>
    </row>
    <row r="235" s="580" customFormat="1" ht="17.1" customHeight="1" outlineLevel="2" spans="1:65">
      <c r="A235" s="759"/>
      <c r="B235" s="786" t="s">
        <v>1202</v>
      </c>
      <c r="C235" s="787" t="s">
        <v>657</v>
      </c>
      <c r="D235" s="790" t="s">
        <v>1203</v>
      </c>
      <c r="E235" s="791" t="s">
        <v>1204</v>
      </c>
      <c r="F235" s="370" t="s">
        <v>505</v>
      </c>
      <c r="G235" s="764">
        <v>1</v>
      </c>
      <c r="H235" s="765" t="s">
        <v>655</v>
      </c>
      <c r="I235" s="765"/>
      <c r="J235" s="772">
        <v>37</v>
      </c>
      <c r="K235" s="497">
        <v>0.11</v>
      </c>
      <c r="L235" s="772">
        <v>0</v>
      </c>
      <c r="M235" s="772">
        <v>0</v>
      </c>
      <c r="N235" s="475">
        <v>0</v>
      </c>
      <c r="O235" s="808"/>
      <c r="P235" s="775"/>
      <c r="Q235" s="781">
        <v>0</v>
      </c>
      <c r="R235" s="823">
        <v>0</v>
      </c>
      <c r="S235" s="774">
        <v>0</v>
      </c>
      <c r="T235" s="774">
        <v>0</v>
      </c>
      <c r="U235" s="774">
        <v>0</v>
      </c>
      <c r="V235" s="774">
        <v>0</v>
      </c>
      <c r="W235" s="781">
        <v>0</v>
      </c>
      <c r="X235" s="774"/>
      <c r="Y235" s="774"/>
      <c r="Z235" s="785"/>
      <c r="AA235" s="695"/>
      <c r="AB235" s="581"/>
      <c r="AC235" s="581"/>
      <c r="AD235" s="581"/>
      <c r="AE235" s="581"/>
      <c r="AF235" s="581"/>
      <c r="AG235" s="581"/>
      <c r="AH235" s="581"/>
      <c r="AI235" s="581"/>
      <c r="AJ235" s="581"/>
      <c r="AK235" s="581"/>
      <c r="AL235" s="581"/>
      <c r="AM235" s="581"/>
      <c r="AN235" s="581"/>
      <c r="AO235" s="581"/>
      <c r="AP235" s="581"/>
      <c r="AQ235" s="581"/>
      <c r="AR235" s="581"/>
      <c r="AS235" s="581"/>
      <c r="AT235" s="581"/>
      <c r="AU235" s="581"/>
      <c r="AV235" s="581"/>
      <c r="AW235" s="581"/>
      <c r="AX235" s="581"/>
      <c r="AY235" s="581"/>
      <c r="AZ235" s="581"/>
      <c r="BA235" s="581"/>
      <c r="BB235" s="581"/>
      <c r="BC235" s="581"/>
      <c r="BD235" s="581"/>
      <c r="BE235" s="581"/>
      <c r="BF235" s="581"/>
      <c r="BG235" s="581"/>
      <c r="BH235" s="581"/>
      <c r="BI235" s="581"/>
      <c r="BJ235" s="581"/>
      <c r="BK235" s="581"/>
      <c r="BL235" s="581"/>
      <c r="BM235" s="581"/>
    </row>
    <row r="236" s="581" customFormat="1" ht="17.1" customHeight="1" outlineLevel="2" spans="2:27">
      <c r="B236" s="786" t="s">
        <v>1205</v>
      </c>
      <c r="C236" s="787" t="s">
        <v>762</v>
      </c>
      <c r="D236" s="792" t="s">
        <v>1206</v>
      </c>
      <c r="E236" s="793"/>
      <c r="F236" s="370"/>
      <c r="G236" s="764"/>
      <c r="H236" s="765"/>
      <c r="I236" s="765"/>
      <c r="J236" s="772"/>
      <c r="K236" s="814">
        <v>0.11</v>
      </c>
      <c r="L236" s="772">
        <v>0</v>
      </c>
      <c r="M236" s="772">
        <v>0</v>
      </c>
      <c r="N236" s="475">
        <v>0</v>
      </c>
      <c r="O236" s="777"/>
      <c r="P236" s="777"/>
      <c r="Q236" s="827">
        <v>0</v>
      </c>
      <c r="R236" s="832">
        <v>0</v>
      </c>
      <c r="S236" s="144">
        <v>0</v>
      </c>
      <c r="T236" s="144">
        <v>0</v>
      </c>
      <c r="U236" s="144">
        <v>0</v>
      </c>
      <c r="V236" s="144">
        <v>0</v>
      </c>
      <c r="W236" s="827">
        <v>0</v>
      </c>
      <c r="X236" s="144"/>
      <c r="Y236" s="144"/>
      <c r="Z236" s="838"/>
      <c r="AA236" s="839"/>
    </row>
    <row r="237" s="581" customFormat="1" ht="17.1" customHeight="1" outlineLevel="2" spans="2:27">
      <c r="B237" s="786" t="s">
        <v>1207</v>
      </c>
      <c r="C237" s="787" t="s">
        <v>778</v>
      </c>
      <c r="D237" s="792" t="s">
        <v>1208</v>
      </c>
      <c r="E237" s="793"/>
      <c r="F237" s="370"/>
      <c r="G237" s="764"/>
      <c r="H237" s="765"/>
      <c r="I237" s="765"/>
      <c r="J237" s="772"/>
      <c r="K237" s="814">
        <v>0.11</v>
      </c>
      <c r="L237" s="772">
        <v>0</v>
      </c>
      <c r="M237" s="772">
        <v>0</v>
      </c>
      <c r="N237" s="475">
        <v>0</v>
      </c>
      <c r="O237" s="806"/>
      <c r="P237" s="807" t="s">
        <v>1452</v>
      </c>
      <c r="Q237" s="831">
        <v>0</v>
      </c>
      <c r="R237" s="833">
        <v>0</v>
      </c>
      <c r="S237" s="806">
        <v>0</v>
      </c>
      <c r="T237" s="806">
        <v>0</v>
      </c>
      <c r="U237" s="806">
        <v>0</v>
      </c>
      <c r="V237" s="806">
        <v>0</v>
      </c>
      <c r="W237" s="831">
        <v>0</v>
      </c>
      <c r="X237" s="806"/>
      <c r="Y237" s="806"/>
      <c r="Z237" s="840"/>
      <c r="AA237" s="841"/>
    </row>
    <row r="238" s="581" customFormat="1" ht="17.1" customHeight="1" outlineLevel="2" spans="2:27">
      <c r="B238" s="786" t="s">
        <v>1209</v>
      </c>
      <c r="C238" s="787" t="s">
        <v>781</v>
      </c>
      <c r="D238" s="792" t="s">
        <v>1210</v>
      </c>
      <c r="E238" s="793"/>
      <c r="F238" s="370"/>
      <c r="G238" s="764"/>
      <c r="H238" s="765"/>
      <c r="I238" s="765"/>
      <c r="J238" s="772"/>
      <c r="K238" s="814">
        <v>0.11</v>
      </c>
      <c r="L238" s="772">
        <v>0</v>
      </c>
      <c r="M238" s="772">
        <v>0</v>
      </c>
      <c r="N238" s="475">
        <v>0</v>
      </c>
      <c r="O238" s="806"/>
      <c r="P238" s="807" t="s">
        <v>1452</v>
      </c>
      <c r="Q238" s="831">
        <v>0</v>
      </c>
      <c r="R238" s="833">
        <v>0</v>
      </c>
      <c r="S238" s="806">
        <v>0</v>
      </c>
      <c r="T238" s="806">
        <v>0</v>
      </c>
      <c r="U238" s="806">
        <v>0</v>
      </c>
      <c r="V238" s="806">
        <v>0</v>
      </c>
      <c r="W238" s="831">
        <v>0</v>
      </c>
      <c r="X238" s="806"/>
      <c r="Y238" s="806"/>
      <c r="Z238" s="840"/>
      <c r="AA238" s="841"/>
    </row>
    <row r="239" s="581" customFormat="1" ht="17.1" customHeight="1" outlineLevel="2" spans="2:27">
      <c r="B239" s="786" t="s">
        <v>1211</v>
      </c>
      <c r="C239" s="787" t="s">
        <v>788</v>
      </c>
      <c r="D239" s="792" t="s">
        <v>1212</v>
      </c>
      <c r="E239" s="793"/>
      <c r="F239" s="370"/>
      <c r="G239" s="764"/>
      <c r="H239" s="765"/>
      <c r="I239" s="765"/>
      <c r="J239" s="772"/>
      <c r="K239" s="814">
        <v>0.11</v>
      </c>
      <c r="L239" s="772">
        <v>0</v>
      </c>
      <c r="M239" s="772">
        <v>0</v>
      </c>
      <c r="N239" s="475">
        <v>0</v>
      </c>
      <c r="O239" s="777"/>
      <c r="P239" s="777"/>
      <c r="Q239" s="824">
        <v>0</v>
      </c>
      <c r="R239" s="825">
        <v>0</v>
      </c>
      <c r="S239" s="826">
        <v>0</v>
      </c>
      <c r="T239" s="826">
        <v>0</v>
      </c>
      <c r="U239" s="826">
        <v>0</v>
      </c>
      <c r="V239" s="826">
        <v>0</v>
      </c>
      <c r="W239" s="827">
        <v>0</v>
      </c>
      <c r="X239" s="144"/>
      <c r="Y239" s="144"/>
      <c r="Z239" s="838"/>
      <c r="AA239" s="839"/>
    </row>
    <row r="240" s="581" customFormat="1" ht="17.1" customHeight="1" outlineLevel="2" spans="2:27">
      <c r="B240" s="786" t="s">
        <v>1213</v>
      </c>
      <c r="C240" s="787" t="s">
        <v>791</v>
      </c>
      <c r="D240" s="792" t="s">
        <v>1214</v>
      </c>
      <c r="E240" s="793"/>
      <c r="F240" s="370"/>
      <c r="G240" s="764"/>
      <c r="H240" s="765"/>
      <c r="I240" s="765"/>
      <c r="J240" s="772"/>
      <c r="K240" s="814">
        <v>0.11</v>
      </c>
      <c r="L240" s="772">
        <v>0</v>
      </c>
      <c r="M240" s="772">
        <v>0</v>
      </c>
      <c r="N240" s="475">
        <v>0</v>
      </c>
      <c r="O240" s="777"/>
      <c r="P240" s="777"/>
      <c r="Q240" s="824">
        <v>0</v>
      </c>
      <c r="R240" s="825">
        <v>0</v>
      </c>
      <c r="S240" s="826">
        <v>0</v>
      </c>
      <c r="T240" s="826">
        <v>0</v>
      </c>
      <c r="U240" s="826">
        <v>0</v>
      </c>
      <c r="V240" s="826">
        <v>0</v>
      </c>
      <c r="W240" s="827">
        <v>0</v>
      </c>
      <c r="X240" s="144"/>
      <c r="Y240" s="144"/>
      <c r="Z240" s="838"/>
      <c r="AA240" s="839"/>
    </row>
    <row r="241" ht="16.5" spans="2:27">
      <c r="B241" s="592" t="s">
        <v>1215</v>
      </c>
      <c r="C241" s="593" t="s">
        <v>582</v>
      </c>
      <c r="D241" s="794" t="s">
        <v>492</v>
      </c>
      <c r="E241" s="794" t="s">
        <v>492</v>
      </c>
      <c r="F241" s="795"/>
      <c r="G241" s="795"/>
      <c r="H241" s="795"/>
      <c r="I241" s="795"/>
      <c r="J241" s="815">
        <v>6216.27780193206</v>
      </c>
      <c r="K241" s="795"/>
      <c r="L241" s="815">
        <v>6216.27780193206</v>
      </c>
      <c r="M241" s="815">
        <v>0</v>
      </c>
      <c r="N241" s="816">
        <v>6216.27780193206</v>
      </c>
      <c r="O241" s="817"/>
      <c r="P241" s="818"/>
      <c r="Q241" s="834">
        <v>6216.27780193206</v>
      </c>
      <c r="R241" s="834">
        <v>0</v>
      </c>
      <c r="S241" s="834">
        <v>0</v>
      </c>
      <c r="T241" s="834">
        <v>0</v>
      </c>
      <c r="U241" s="834">
        <v>0</v>
      </c>
      <c r="V241" s="834">
        <v>0</v>
      </c>
      <c r="W241" s="835">
        <v>6216.27780193206</v>
      </c>
      <c r="X241" s="817"/>
      <c r="Y241" s="817"/>
      <c r="Z241" s="842"/>
      <c r="AA241" s="843"/>
    </row>
    <row r="242" s="582" customFormat="1" outlineLevel="2" spans="2:27">
      <c r="B242" s="796" t="s">
        <v>1217</v>
      </c>
      <c r="C242" s="797"/>
      <c r="D242" s="798" t="s">
        <v>1218</v>
      </c>
      <c r="E242" s="799"/>
      <c r="F242" s="800"/>
      <c r="G242" s="801"/>
      <c r="H242" s="801"/>
      <c r="I242" s="801"/>
      <c r="J242" s="801"/>
      <c r="K242" s="801">
        <v>0</v>
      </c>
      <c r="L242" s="819">
        <v>0</v>
      </c>
      <c r="M242" s="819">
        <v>0</v>
      </c>
      <c r="N242" s="806">
        <v>0</v>
      </c>
      <c r="O242" s="144" t="s">
        <v>1469</v>
      </c>
      <c r="P242" s="820"/>
      <c r="Q242" s="820">
        <v>0</v>
      </c>
      <c r="R242" s="820">
        <v>0</v>
      </c>
      <c r="S242" s="820">
        <v>0</v>
      </c>
      <c r="T242" s="820">
        <v>0</v>
      </c>
      <c r="U242" s="820">
        <v>0</v>
      </c>
      <c r="V242" s="820">
        <v>0</v>
      </c>
      <c r="W242" s="836"/>
      <c r="X242" s="836"/>
      <c r="Y242" s="836"/>
      <c r="Z242" s="836"/>
      <c r="AA242" s="844"/>
    </row>
    <row r="243" s="582" customFormat="1" outlineLevel="2" spans="2:27">
      <c r="B243" s="796" t="s">
        <v>1219</v>
      </c>
      <c r="C243" s="797"/>
      <c r="D243" s="798" t="s">
        <v>1220</v>
      </c>
      <c r="E243" s="799"/>
      <c r="F243" s="800"/>
      <c r="G243" s="801">
        <v>1</v>
      </c>
      <c r="H243" s="801"/>
      <c r="I243" s="801">
        <v>1</v>
      </c>
      <c r="J243" s="801">
        <v>6216.27780193206</v>
      </c>
      <c r="K243" s="801">
        <v>0</v>
      </c>
      <c r="L243" s="819">
        <v>6216.27780193206</v>
      </c>
      <c r="M243" s="819">
        <v>0</v>
      </c>
      <c r="N243" s="806">
        <v>6216.27780193206</v>
      </c>
      <c r="O243" s="144" t="s">
        <v>1469</v>
      </c>
      <c r="P243" s="820"/>
      <c r="Q243" s="820">
        <v>6216.27780193206</v>
      </c>
      <c r="R243" s="820">
        <v>0</v>
      </c>
      <c r="S243" s="820">
        <v>0</v>
      </c>
      <c r="T243" s="820">
        <v>0</v>
      </c>
      <c r="U243" s="820">
        <v>0</v>
      </c>
      <c r="V243" s="820">
        <v>0</v>
      </c>
      <c r="W243" s="836"/>
      <c r="X243" s="836"/>
      <c r="Y243" s="836"/>
      <c r="Z243" s="836"/>
      <c r="AA243" s="844"/>
    </row>
    <row r="244" s="582" customFormat="1" outlineLevel="2" spans="2:27">
      <c r="B244" s="796" t="s">
        <v>1221</v>
      </c>
      <c r="C244" s="797"/>
      <c r="D244" s="798" t="s">
        <v>1222</v>
      </c>
      <c r="E244" s="799"/>
      <c r="F244" s="800"/>
      <c r="G244" s="801"/>
      <c r="H244" s="801"/>
      <c r="I244" s="801"/>
      <c r="J244" s="801"/>
      <c r="K244" s="801">
        <v>0</v>
      </c>
      <c r="L244" s="819">
        <v>0</v>
      </c>
      <c r="M244" s="819">
        <v>0</v>
      </c>
      <c r="N244" s="806">
        <v>0</v>
      </c>
      <c r="O244" s="144" t="s">
        <v>1469</v>
      </c>
      <c r="P244" s="820"/>
      <c r="Q244" s="820">
        <v>0</v>
      </c>
      <c r="R244" s="820">
        <v>0</v>
      </c>
      <c r="S244" s="820">
        <v>0</v>
      </c>
      <c r="T244" s="820">
        <v>0</v>
      </c>
      <c r="U244" s="820">
        <v>0</v>
      </c>
      <c r="V244" s="820">
        <v>0</v>
      </c>
      <c r="W244" s="836"/>
      <c r="X244" s="836"/>
      <c r="Y244" s="836"/>
      <c r="Z244" s="836"/>
      <c r="AA244" s="844"/>
    </row>
    <row r="246" spans="23:26">
      <c r="W246" s="837">
        <v>50482.3762247892</v>
      </c>
      <c r="X246" s="837">
        <v>0</v>
      </c>
      <c r="Y246" s="837">
        <v>0</v>
      </c>
      <c r="Z246" s="837">
        <v>0</v>
      </c>
    </row>
  </sheetData>
  <mergeCells count="27">
    <mergeCell ref="Q6:V6"/>
    <mergeCell ref="W6:Z6"/>
    <mergeCell ref="Q7:R7"/>
    <mergeCell ref="S7:T7"/>
    <mergeCell ref="U7:V7"/>
    <mergeCell ref="B6:B8"/>
    <mergeCell ref="C6:C8"/>
    <mergeCell ref="D6:D8"/>
    <mergeCell ref="E6:E8"/>
    <mergeCell ref="F6:F8"/>
    <mergeCell ref="G6:G8"/>
    <mergeCell ref="H6:H8"/>
    <mergeCell ref="I6:I8"/>
    <mergeCell ref="J6:J8"/>
    <mergeCell ref="K6:K8"/>
    <mergeCell ref="L6:L8"/>
    <mergeCell ref="M6:M8"/>
    <mergeCell ref="N2:N3"/>
    <mergeCell ref="N4:N5"/>
    <mergeCell ref="N6:N8"/>
    <mergeCell ref="O2:O3"/>
    <mergeCell ref="O4:O5"/>
    <mergeCell ref="O6:O8"/>
    <mergeCell ref="P2:P3"/>
    <mergeCell ref="P4:P5"/>
    <mergeCell ref="P6:P8"/>
    <mergeCell ref="B2:M5"/>
  </mergeCells>
  <conditionalFormatting sqref="E51">
    <cfRule type="duplicateValues" dxfId="91" priority="13"/>
  </conditionalFormatting>
  <conditionalFormatting sqref="E60">
    <cfRule type="duplicateValues" dxfId="92" priority="12"/>
  </conditionalFormatting>
  <conditionalFormatting sqref="D73">
    <cfRule type="duplicateValues" dxfId="93" priority="18"/>
  </conditionalFormatting>
  <conditionalFormatting sqref="E73">
    <cfRule type="duplicateValues" dxfId="94" priority="14"/>
  </conditionalFormatting>
  <conditionalFormatting sqref="D104">
    <cfRule type="duplicateValues" dxfId="95" priority="19"/>
  </conditionalFormatting>
  <conditionalFormatting sqref="E104">
    <cfRule type="duplicateValues" dxfId="96" priority="15"/>
  </conditionalFormatting>
  <conditionalFormatting sqref="D108">
    <cfRule type="duplicateValues" dxfId="97" priority="20"/>
  </conditionalFormatting>
  <conditionalFormatting sqref="E108">
    <cfRule type="duplicateValues" dxfId="98" priority="16"/>
  </conditionalFormatting>
  <conditionalFormatting sqref="D206">
    <cfRule type="duplicateValues" dxfId="99" priority="6"/>
  </conditionalFormatting>
  <conditionalFormatting sqref="D207">
    <cfRule type="duplicateValues" dxfId="100" priority="7"/>
  </conditionalFormatting>
  <conditionalFormatting sqref="E210">
    <cfRule type="duplicateValues" dxfId="101" priority="9"/>
  </conditionalFormatting>
  <conditionalFormatting sqref="D62:D71">
    <cfRule type="duplicateValues" dxfId="102" priority="21"/>
  </conditionalFormatting>
  <conditionalFormatting sqref="D182:D192">
    <cfRule type="duplicateValues" dxfId="103" priority="10"/>
  </conditionalFormatting>
  <conditionalFormatting sqref="D212:D231">
    <cfRule type="duplicateValues" dxfId="104" priority="4"/>
  </conditionalFormatting>
  <conditionalFormatting sqref="D234:D240">
    <cfRule type="duplicateValues" dxfId="105" priority="2"/>
  </conditionalFormatting>
  <conditionalFormatting sqref="E212:E231">
    <cfRule type="duplicateValues" dxfId="106" priority="5"/>
  </conditionalFormatting>
  <conditionalFormatting sqref="E234:E240">
    <cfRule type="duplicateValues" dxfId="107" priority="3"/>
  </conditionalFormatting>
  <conditionalFormatting sqref="E242:E244">
    <cfRule type="duplicateValues" dxfId="108" priority="1"/>
  </conditionalFormatting>
  <conditionalFormatting sqref="E62 E64:E71">
    <cfRule type="duplicateValues" dxfId="109" priority="17"/>
  </conditionalFormatting>
  <conditionalFormatting sqref="E184:E185 E188:E192">
    <cfRule type="duplicateValues" dxfId="110" priority="11"/>
  </conditionalFormatting>
  <conditionalFormatting sqref="D208:D210 D195:D205">
    <cfRule type="duplicateValues" dxfId="111" priority="8"/>
  </conditionalFormatting>
  <printOptions horizontalCentered="1"/>
  <pageMargins left="0.314583333333333" right="0.275" top="0.984027777777778" bottom="0.984027777777778" header="0.511805555555556" footer="0.511805555555556"/>
  <pageSetup paperSize="1" orientation="portrait" horizontalDpi="300" verticalDpi="300"/>
  <headerFooter alignWithMargins="0"/>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tabColor rgb="FFFF0000"/>
    <outlinePr summaryBelow="0" summaryRight="0"/>
  </sheetPr>
  <dimension ref="A1:Y205"/>
  <sheetViews>
    <sheetView tabSelected="1" zoomScale="115" zoomScaleNormal="115" workbookViewId="0">
      <pane xSplit="4" ySplit="3" topLeftCell="E112" activePane="bottomRight" state="frozen"/>
      <selection/>
      <selection pane="topRight"/>
      <selection pane="bottomLeft"/>
      <selection pane="bottomRight" activeCell="B161" sqref="B161"/>
    </sheetView>
  </sheetViews>
  <sheetFormatPr defaultColWidth="9" defaultRowHeight="24" customHeight="1"/>
  <cols>
    <col min="1" max="1" width="3.4" style="168" customWidth="1"/>
    <col min="2" max="2" width="17.6" style="168" customWidth="1"/>
    <col min="3" max="3" width="5.1" style="166" customWidth="1"/>
    <col min="4" max="4" width="29.5" style="569" customWidth="1"/>
    <col min="5" max="5" width="20.9" style="166" customWidth="1"/>
    <col min="6" max="6" width="17.9" style="166" customWidth="1"/>
    <col min="7" max="7" width="8.4" style="166" customWidth="1"/>
    <col min="8" max="8" width="7.4" style="166" customWidth="1"/>
    <col min="9" max="11" width="9" style="458" customWidth="1"/>
    <col min="12" max="12" width="9.4" style="166" customWidth="1"/>
    <col min="13" max="13" width="9.5" style="166" customWidth="1"/>
    <col min="14" max="14" width="9.6" style="459" customWidth="1"/>
    <col min="15" max="15" width="9" style="169" customWidth="1"/>
    <col min="16" max="16" width="9.4" style="169" customWidth="1"/>
    <col min="17" max="17" width="9" style="168" customWidth="1"/>
    <col min="18" max="18" width="20.6" style="168" customWidth="1"/>
    <col min="19" max="19" width="9.4" style="168" customWidth="1"/>
    <col min="20" max="20" width="26.6" style="168" customWidth="1"/>
    <col min="21" max="23" width="9.1" style="168" hidden="1" customWidth="1"/>
    <col min="24" max="24" width="9.1" style="168" customWidth="1"/>
    <col min="25" max="25" width="9.1" style="460" customWidth="1"/>
    <col min="26" max="26" width="9.1" style="168" customWidth="1"/>
    <col min="27" max="16384" width="9" style="168"/>
  </cols>
  <sheetData>
    <row r="1" s="456" customFormat="1" ht="21.75" customHeight="1" spans="3:25">
      <c r="C1" s="461"/>
      <c r="D1" s="570" t="s">
        <v>195</v>
      </c>
      <c r="E1" s="375" t="s">
        <v>505</v>
      </c>
      <c r="F1" s="375" t="s">
        <v>603</v>
      </c>
      <c r="G1" s="375" t="s">
        <v>862</v>
      </c>
      <c r="H1" s="375" t="s">
        <v>601</v>
      </c>
      <c r="I1" s="375" t="s">
        <v>602</v>
      </c>
      <c r="J1" s="375" t="s">
        <v>1252</v>
      </c>
      <c r="M1" s="481"/>
      <c r="N1" s="482"/>
      <c r="O1" s="482"/>
      <c r="P1" s="483"/>
      <c r="S1" s="456">
        <v>418</v>
      </c>
      <c r="Y1" s="501"/>
    </row>
    <row r="2" s="456" customFormat="1" ht="17.25" customHeight="1" spans="3:25">
      <c r="C2" s="461"/>
      <c r="D2" s="570" t="s">
        <v>1524</v>
      </c>
      <c r="E2" s="463">
        <v>187200</v>
      </c>
      <c r="F2" s="464">
        <v>0</v>
      </c>
      <c r="G2" s="465">
        <v>5650</v>
      </c>
      <c r="H2" s="465">
        <v>1328</v>
      </c>
      <c r="I2" s="465">
        <v>15</v>
      </c>
      <c r="J2" s="465">
        <v>33</v>
      </c>
      <c r="M2" s="481"/>
      <c r="N2" s="484"/>
      <c r="O2" s="484"/>
      <c r="P2" s="483"/>
      <c r="Y2" s="501"/>
    </row>
    <row r="3" s="166" customFormat="1" ht="33" customHeight="1" spans="2:16">
      <c r="B3" s="466" t="s">
        <v>21</v>
      </c>
      <c r="C3" s="466"/>
      <c r="D3" s="571" t="s">
        <v>494</v>
      </c>
      <c r="E3" s="467" t="s">
        <v>605</v>
      </c>
      <c r="F3" s="467" t="s">
        <v>606</v>
      </c>
      <c r="G3" s="467" t="s">
        <v>607</v>
      </c>
      <c r="H3" s="467" t="s">
        <v>608</v>
      </c>
      <c r="I3" s="467" t="s">
        <v>1525</v>
      </c>
      <c r="J3" s="485" t="s">
        <v>610</v>
      </c>
      <c r="K3" s="486" t="s">
        <v>611</v>
      </c>
      <c r="L3" s="485" t="s">
        <v>612</v>
      </c>
      <c r="M3" s="485" t="s">
        <v>613</v>
      </c>
      <c r="N3" s="52" t="s">
        <v>614</v>
      </c>
      <c r="O3" s="487" t="s">
        <v>1526</v>
      </c>
      <c r="P3" s="466" t="s">
        <v>1300</v>
      </c>
    </row>
    <row r="4" ht="16.5" hidden="1" customHeight="1" collapsed="1" spans="2:25">
      <c r="B4" s="468" t="s">
        <v>875</v>
      </c>
      <c r="C4" s="469" t="s">
        <v>533</v>
      </c>
      <c r="D4" s="468" t="s">
        <v>481</v>
      </c>
      <c r="E4" s="192"/>
      <c r="F4" s="192"/>
      <c r="G4" s="192"/>
      <c r="H4" s="192"/>
      <c r="I4" s="488"/>
      <c r="J4" s="192"/>
      <c r="K4" s="489"/>
      <c r="L4" s="192"/>
      <c r="M4" s="192"/>
      <c r="N4" s="490">
        <v>28316.2808944</v>
      </c>
      <c r="O4" s="491">
        <v>1512.62184264957</v>
      </c>
      <c r="P4" s="230"/>
      <c r="Y4" s="168"/>
    </row>
    <row r="5" ht="16.5" hidden="1" customHeight="1" outlineLevel="1" collapsed="1" spans="2:25">
      <c r="B5" s="121" t="s">
        <v>534</v>
      </c>
      <c r="C5" s="193">
        <v>1</v>
      </c>
      <c r="D5" s="121" t="s">
        <v>1527</v>
      </c>
      <c r="E5" s="193"/>
      <c r="F5" s="193"/>
      <c r="G5" s="193"/>
      <c r="H5" s="155"/>
      <c r="I5" s="492"/>
      <c r="J5" s="155"/>
      <c r="K5" s="493"/>
      <c r="L5" s="494">
        <v>20371.2005697297</v>
      </c>
      <c r="M5" s="494">
        <v>2250.17344267027</v>
      </c>
      <c r="N5" s="494">
        <v>22591.6267624</v>
      </c>
      <c r="O5" s="495">
        <v>1206.81766893162</v>
      </c>
      <c r="P5" s="233"/>
      <c r="Y5" s="168"/>
    </row>
    <row r="6" ht="16.5" hidden="1" customHeight="1" outlineLevel="2" spans="2:25">
      <c r="B6" s="470" t="s">
        <v>1528</v>
      </c>
      <c r="C6" s="471" t="s">
        <v>619</v>
      </c>
      <c r="D6" s="474" t="s">
        <v>1529</v>
      </c>
      <c r="E6" s="95" t="s">
        <v>774</v>
      </c>
      <c r="F6" s="95"/>
      <c r="G6" s="236"/>
      <c r="H6" s="472"/>
      <c r="I6" s="144"/>
      <c r="J6" s="496"/>
      <c r="K6" s="497"/>
      <c r="L6" s="498">
        <v>12.204</v>
      </c>
      <c r="M6" s="498">
        <v>1.34244</v>
      </c>
      <c r="N6" s="498">
        <v>13.54644</v>
      </c>
      <c r="O6" s="499">
        <v>0.723634615384615</v>
      </c>
      <c r="P6" s="309"/>
      <c r="Y6" s="168"/>
    </row>
    <row r="7" ht="16.5" customHeight="1" outlineLevel="3" spans="2:25">
      <c r="B7" s="470" t="s">
        <v>1530</v>
      </c>
      <c r="C7" s="473" t="s">
        <v>622</v>
      </c>
      <c r="D7" s="474" t="s">
        <v>1531</v>
      </c>
      <c r="E7" s="95"/>
      <c r="F7" s="95"/>
      <c r="G7" s="95"/>
      <c r="H7" s="472" t="s">
        <v>827</v>
      </c>
      <c r="I7" s="144">
        <v>3000</v>
      </c>
      <c r="J7" s="496">
        <v>31.5315315315315</v>
      </c>
      <c r="K7" s="497">
        <v>0.11</v>
      </c>
      <c r="L7" s="496">
        <v>0</v>
      </c>
      <c r="M7" s="496">
        <v>0</v>
      </c>
      <c r="N7" s="498">
        <v>0</v>
      </c>
      <c r="O7" s="499">
        <v>0</v>
      </c>
      <c r="P7" s="309"/>
      <c r="Y7" s="168"/>
    </row>
    <row r="8" ht="16.5" hidden="1" customHeight="1" outlineLevel="3" spans="2:25">
      <c r="B8" s="470" t="s">
        <v>1532</v>
      </c>
      <c r="C8" s="473" t="s">
        <v>622</v>
      </c>
      <c r="D8" s="474" t="s">
        <v>1533</v>
      </c>
      <c r="E8" s="95"/>
      <c r="F8" s="95" t="s">
        <v>862</v>
      </c>
      <c r="G8" s="95">
        <v>2</v>
      </c>
      <c r="H8" s="472" t="s">
        <v>827</v>
      </c>
      <c r="I8" s="144">
        <v>5650</v>
      </c>
      <c r="J8" s="496">
        <v>10.8</v>
      </c>
      <c r="K8" s="497">
        <v>0.11</v>
      </c>
      <c r="L8" s="496">
        <v>12.204</v>
      </c>
      <c r="M8" s="496">
        <v>1.34244</v>
      </c>
      <c r="N8" s="498">
        <v>13.54644</v>
      </c>
      <c r="O8" s="499">
        <v>0.723634615384615</v>
      </c>
      <c r="P8" s="309"/>
      <c r="Y8" s="168"/>
    </row>
    <row r="9" ht="16.5" hidden="1" customHeight="1" outlineLevel="2" collapsed="1" spans="2:25">
      <c r="B9" s="470" t="s">
        <v>1534</v>
      </c>
      <c r="C9" s="471" t="s">
        <v>657</v>
      </c>
      <c r="D9" s="474" t="s">
        <v>535</v>
      </c>
      <c r="E9" s="95"/>
      <c r="F9" s="95"/>
      <c r="G9" s="236"/>
      <c r="H9" s="236"/>
      <c r="I9" s="144"/>
      <c r="J9" s="500">
        <v>0</v>
      </c>
      <c r="K9" s="497"/>
      <c r="L9" s="498">
        <v>20358.9965697297</v>
      </c>
      <c r="M9" s="498">
        <v>2248.83100267027</v>
      </c>
      <c r="N9" s="498">
        <v>22578.0803224</v>
      </c>
      <c r="O9" s="499">
        <v>1206.09403431624</v>
      </c>
      <c r="P9" s="309"/>
      <c r="Y9" s="168"/>
    </row>
    <row r="10" ht="16.5" hidden="1" customHeight="1" outlineLevel="3" collapsed="1" spans="2:25">
      <c r="B10" s="470" t="s">
        <v>1535</v>
      </c>
      <c r="C10" s="473" t="s">
        <v>622</v>
      </c>
      <c r="D10" s="474" t="s">
        <v>1536</v>
      </c>
      <c r="E10" s="290" t="s">
        <v>774</v>
      </c>
      <c r="F10" s="290" t="s">
        <v>1537</v>
      </c>
      <c r="G10" s="475"/>
      <c r="H10" s="292"/>
      <c r="I10" s="475"/>
      <c r="J10" s="500">
        <v>0</v>
      </c>
      <c r="K10" s="497"/>
      <c r="L10" s="498">
        <v>2894.01081081081</v>
      </c>
      <c r="M10" s="498">
        <v>318.341189189189</v>
      </c>
      <c r="N10" s="498">
        <v>3212.352</v>
      </c>
      <c r="O10" s="499">
        <v>171.6</v>
      </c>
      <c r="P10" s="309"/>
      <c r="Y10" s="168"/>
    </row>
    <row r="11" ht="16.5" hidden="1" customHeight="1" outlineLevel="4" spans="2:25">
      <c r="B11" s="470" t="s">
        <v>1538</v>
      </c>
      <c r="C11" s="473"/>
      <c r="D11" s="474" t="s">
        <v>1539</v>
      </c>
      <c r="E11" s="290"/>
      <c r="F11" s="290" t="s">
        <v>1537</v>
      </c>
      <c r="G11" s="475"/>
      <c r="H11" s="292" t="s">
        <v>827</v>
      </c>
      <c r="I11" s="475">
        <v>187200</v>
      </c>
      <c r="J11" s="500"/>
      <c r="K11" s="497">
        <v>0.17</v>
      </c>
      <c r="L11" s="496">
        <v>0</v>
      </c>
      <c r="M11" s="496">
        <v>0</v>
      </c>
      <c r="N11" s="498">
        <v>0</v>
      </c>
      <c r="O11" s="499"/>
      <c r="P11" s="309"/>
      <c r="Y11" s="168"/>
    </row>
    <row r="12" ht="16.5" hidden="1" customHeight="1" outlineLevel="4" spans="2:25">
      <c r="B12" s="470" t="s">
        <v>1540</v>
      </c>
      <c r="C12" s="473"/>
      <c r="D12" s="474" t="s">
        <v>1541</v>
      </c>
      <c r="E12" s="290"/>
      <c r="F12" s="290" t="s">
        <v>1537</v>
      </c>
      <c r="G12" s="475">
        <v>0.39</v>
      </c>
      <c r="H12" s="292" t="s">
        <v>827</v>
      </c>
      <c r="I12" s="475">
        <v>187200</v>
      </c>
      <c r="J12" s="500">
        <v>396.396396396396</v>
      </c>
      <c r="K12" s="497">
        <v>0.11</v>
      </c>
      <c r="L12" s="496">
        <v>2894.01081081081</v>
      </c>
      <c r="M12" s="496">
        <v>318.341189189189</v>
      </c>
      <c r="N12" s="498">
        <v>3212.352</v>
      </c>
      <c r="O12" s="499"/>
      <c r="P12" s="309"/>
      <c r="Y12" s="168"/>
    </row>
    <row r="13" ht="16.5" hidden="1" customHeight="1" outlineLevel="3" spans="2:25">
      <c r="B13" s="470" t="s">
        <v>1542</v>
      </c>
      <c r="C13" s="473" t="s">
        <v>622</v>
      </c>
      <c r="D13" s="474" t="s">
        <v>1543</v>
      </c>
      <c r="E13" s="290" t="s">
        <v>774</v>
      </c>
      <c r="F13" s="290" t="s">
        <v>1537</v>
      </c>
      <c r="G13" s="475"/>
      <c r="H13" s="292"/>
      <c r="I13" s="475"/>
      <c r="J13" s="500">
        <v>0</v>
      </c>
      <c r="K13" s="497"/>
      <c r="L13" s="498">
        <v>4384.86486486486</v>
      </c>
      <c r="M13" s="498">
        <v>482.335135135135</v>
      </c>
      <c r="N13" s="498">
        <v>4867.2</v>
      </c>
      <c r="O13" s="499">
        <v>260</v>
      </c>
      <c r="P13" s="309"/>
      <c r="Y13" s="168"/>
    </row>
    <row r="14" ht="16.5" customHeight="1" outlineLevel="4" spans="2:25">
      <c r="B14" s="470" t="s">
        <v>1544</v>
      </c>
      <c r="C14" s="473"/>
      <c r="D14" s="474" t="s">
        <v>1545</v>
      </c>
      <c r="E14" s="290"/>
      <c r="F14" s="290"/>
      <c r="G14" s="475"/>
      <c r="H14" s="292" t="s">
        <v>1546</v>
      </c>
      <c r="I14" s="475">
        <v>187200</v>
      </c>
      <c r="J14" s="500"/>
      <c r="K14" s="497">
        <v>0.17</v>
      </c>
      <c r="L14" s="496">
        <v>0</v>
      </c>
      <c r="M14" s="496">
        <v>0</v>
      </c>
      <c r="N14" s="498">
        <v>0</v>
      </c>
      <c r="O14" s="499">
        <v>0</v>
      </c>
      <c r="P14" s="309"/>
      <c r="Y14" s="168"/>
    </row>
    <row r="15" ht="16.5" hidden="1" customHeight="1" outlineLevel="4" spans="2:25">
      <c r="B15" s="470" t="s">
        <v>1547</v>
      </c>
      <c r="C15" s="473"/>
      <c r="D15" s="474" t="s">
        <v>1548</v>
      </c>
      <c r="E15" s="290"/>
      <c r="F15" s="290"/>
      <c r="G15" s="475">
        <v>52</v>
      </c>
      <c r="H15" s="292" t="s">
        <v>1546</v>
      </c>
      <c r="I15" s="475">
        <v>187200</v>
      </c>
      <c r="J15" s="500">
        <v>4.5045045045045</v>
      </c>
      <c r="K15" s="497">
        <v>0.11</v>
      </c>
      <c r="L15" s="496">
        <v>4384.86486486486</v>
      </c>
      <c r="M15" s="496">
        <v>482.335135135135</v>
      </c>
      <c r="N15" s="498">
        <v>4867.2</v>
      </c>
      <c r="O15" s="499">
        <v>260</v>
      </c>
      <c r="P15" s="309"/>
      <c r="Y15" s="168"/>
    </row>
    <row r="16" ht="16.5" hidden="1" customHeight="1" outlineLevel="3" spans="2:25">
      <c r="B16" s="470" t="s">
        <v>1549</v>
      </c>
      <c r="C16" s="473" t="s">
        <v>622</v>
      </c>
      <c r="D16" s="474" t="s">
        <v>1550</v>
      </c>
      <c r="E16" s="290" t="s">
        <v>774</v>
      </c>
      <c r="F16" s="290" t="s">
        <v>1537</v>
      </c>
      <c r="G16" s="475">
        <v>3.8</v>
      </c>
      <c r="H16" s="292" t="s">
        <v>1015</v>
      </c>
      <c r="I16" s="475">
        <v>187200</v>
      </c>
      <c r="J16" s="475">
        <v>49.55</v>
      </c>
      <c r="K16" s="497">
        <v>0.11</v>
      </c>
      <c r="L16" s="496">
        <v>3524.7888</v>
      </c>
      <c r="M16" s="496">
        <v>387.726768</v>
      </c>
      <c r="N16" s="498">
        <v>3912.515568</v>
      </c>
      <c r="O16" s="499">
        <v>209.0019</v>
      </c>
      <c r="P16" s="236"/>
      <c r="Y16" s="168"/>
    </row>
    <row r="17" ht="16.5" hidden="1" customHeight="1" outlineLevel="3" spans="2:25">
      <c r="B17" s="470" t="s">
        <v>1551</v>
      </c>
      <c r="C17" s="473" t="s">
        <v>622</v>
      </c>
      <c r="D17" s="474" t="s">
        <v>1552</v>
      </c>
      <c r="E17" s="290" t="s">
        <v>774</v>
      </c>
      <c r="F17" s="290"/>
      <c r="G17" s="475"/>
      <c r="H17" s="292"/>
      <c r="I17" s="475"/>
      <c r="J17" s="200">
        <v>0</v>
      </c>
      <c r="K17" s="497"/>
      <c r="L17" s="498">
        <v>1391.35135135135</v>
      </c>
      <c r="M17" s="498">
        <v>153.048648648649</v>
      </c>
      <c r="N17" s="498">
        <v>1544.4</v>
      </c>
      <c r="O17" s="499">
        <v>82.5</v>
      </c>
      <c r="P17" s="236"/>
      <c r="Y17" s="168"/>
    </row>
    <row r="18" ht="16.5" customHeight="1" outlineLevel="4" spans="2:25">
      <c r="B18" s="470" t="s">
        <v>1553</v>
      </c>
      <c r="C18" s="473"/>
      <c r="D18" s="474" t="s">
        <v>1554</v>
      </c>
      <c r="E18" s="290"/>
      <c r="F18" s="290" t="s">
        <v>1537</v>
      </c>
      <c r="G18" s="475"/>
      <c r="H18" s="292" t="s">
        <v>827</v>
      </c>
      <c r="I18" s="475">
        <v>187200</v>
      </c>
      <c r="J18" s="200"/>
      <c r="K18" s="497">
        <v>0.17</v>
      </c>
      <c r="L18" s="496">
        <v>0</v>
      </c>
      <c r="M18" s="496">
        <v>0</v>
      </c>
      <c r="N18" s="498">
        <v>0</v>
      </c>
      <c r="O18" s="499">
        <v>0</v>
      </c>
      <c r="P18" s="236"/>
      <c r="Y18" s="168"/>
    </row>
    <row r="19" ht="16.5" hidden="1" customHeight="1" outlineLevel="4" spans="2:25">
      <c r="B19" s="470" t="s">
        <v>1555</v>
      </c>
      <c r="C19" s="473"/>
      <c r="D19" s="474" t="s">
        <v>1556</v>
      </c>
      <c r="E19" s="290"/>
      <c r="F19" s="290" t="s">
        <v>1537</v>
      </c>
      <c r="G19" s="475">
        <v>0.15</v>
      </c>
      <c r="H19" s="477" t="s">
        <v>655</v>
      </c>
      <c r="I19" s="475">
        <v>187200</v>
      </c>
      <c r="J19" s="475">
        <v>495.495495495495</v>
      </c>
      <c r="K19" s="497">
        <v>0.11</v>
      </c>
      <c r="L19" s="496">
        <v>1391.35135135135</v>
      </c>
      <c r="M19" s="496">
        <v>153.048648648649</v>
      </c>
      <c r="N19" s="498">
        <v>1544.4</v>
      </c>
      <c r="O19" s="499">
        <v>82.5</v>
      </c>
      <c r="P19" s="236"/>
      <c r="Y19" s="168"/>
    </row>
    <row r="20" ht="16.5" customHeight="1" outlineLevel="3" spans="2:25">
      <c r="B20" s="470" t="s">
        <v>1557</v>
      </c>
      <c r="C20" s="473" t="s">
        <v>622</v>
      </c>
      <c r="D20" s="474" t="s">
        <v>1558</v>
      </c>
      <c r="E20" s="290" t="s">
        <v>1353</v>
      </c>
      <c r="F20" s="290" t="s">
        <v>1537</v>
      </c>
      <c r="G20" s="478"/>
      <c r="H20" s="477"/>
      <c r="I20" s="475"/>
      <c r="J20" s="200">
        <v>0</v>
      </c>
      <c r="K20" s="497"/>
      <c r="L20" s="498">
        <v>0</v>
      </c>
      <c r="M20" s="498">
        <v>0</v>
      </c>
      <c r="N20" s="498">
        <v>0</v>
      </c>
      <c r="O20" s="499">
        <v>0</v>
      </c>
      <c r="P20" s="236"/>
      <c r="Y20" s="168"/>
    </row>
    <row r="21" ht="16.5" customHeight="1" outlineLevel="4" spans="2:25">
      <c r="B21" s="470" t="s">
        <v>1559</v>
      </c>
      <c r="C21" s="473"/>
      <c r="D21" s="474" t="s">
        <v>1560</v>
      </c>
      <c r="E21" s="290"/>
      <c r="F21" s="290" t="s">
        <v>1537</v>
      </c>
      <c r="G21" s="478"/>
      <c r="H21" s="477" t="s">
        <v>655</v>
      </c>
      <c r="I21" s="475">
        <v>187200</v>
      </c>
      <c r="J21" s="200">
        <v>620</v>
      </c>
      <c r="K21" s="497">
        <v>0.17</v>
      </c>
      <c r="L21" s="496">
        <v>0</v>
      </c>
      <c r="M21" s="496">
        <v>0</v>
      </c>
      <c r="N21" s="498">
        <v>0</v>
      </c>
      <c r="O21" s="499">
        <v>0</v>
      </c>
      <c r="P21" s="236"/>
      <c r="Y21" s="168"/>
    </row>
    <row r="22" ht="16.5" customHeight="1" outlineLevel="4" spans="2:25">
      <c r="B22" s="470" t="s">
        <v>1561</v>
      </c>
      <c r="C22" s="473"/>
      <c r="D22" s="474" t="s">
        <v>1562</v>
      </c>
      <c r="E22" s="290"/>
      <c r="F22" s="290" t="s">
        <v>1537</v>
      </c>
      <c r="G22" s="478"/>
      <c r="H22" s="477" t="s">
        <v>655</v>
      </c>
      <c r="I22" s="475">
        <v>187200</v>
      </c>
      <c r="J22" s="200">
        <v>370</v>
      </c>
      <c r="K22" s="497">
        <v>0.11</v>
      </c>
      <c r="L22" s="496">
        <v>0</v>
      </c>
      <c r="M22" s="496">
        <v>0</v>
      </c>
      <c r="N22" s="498">
        <v>0</v>
      </c>
      <c r="O22" s="499">
        <v>0</v>
      </c>
      <c r="P22" s="236"/>
      <c r="Y22" s="168"/>
    </row>
    <row r="23" ht="16.5" hidden="1" customHeight="1" outlineLevel="3" collapsed="1" spans="2:25">
      <c r="B23" s="470" t="s">
        <v>1563</v>
      </c>
      <c r="C23" s="473" t="s">
        <v>622</v>
      </c>
      <c r="D23" s="474" t="s">
        <v>1564</v>
      </c>
      <c r="E23" s="479" t="s">
        <v>774</v>
      </c>
      <c r="F23" s="479"/>
      <c r="G23" s="478"/>
      <c r="H23" s="477" t="s">
        <v>827</v>
      </c>
      <c r="I23" s="475">
        <v>187200</v>
      </c>
      <c r="J23" s="500">
        <v>0</v>
      </c>
      <c r="K23" s="497"/>
      <c r="L23" s="498">
        <v>2799.264</v>
      </c>
      <c r="M23" s="498">
        <v>307.91904</v>
      </c>
      <c r="N23" s="498">
        <v>3107.18304</v>
      </c>
      <c r="O23" s="499">
        <v>165.982</v>
      </c>
      <c r="P23" s="309"/>
      <c r="Y23" s="168"/>
    </row>
    <row r="24" ht="16.5" hidden="1" customHeight="1" outlineLevel="4" spans="2:25">
      <c r="B24" s="470" t="s">
        <v>1565</v>
      </c>
      <c r="C24" s="473"/>
      <c r="D24" s="474" t="s">
        <v>1566</v>
      </c>
      <c r="E24" s="290"/>
      <c r="F24" s="290" t="s">
        <v>1537</v>
      </c>
      <c r="G24" s="480">
        <v>1</v>
      </c>
      <c r="H24" s="477" t="s">
        <v>1015</v>
      </c>
      <c r="I24" s="475">
        <v>187200</v>
      </c>
      <c r="J24" s="500">
        <v>21.6216216216216</v>
      </c>
      <c r="K24" s="497">
        <v>0.11</v>
      </c>
      <c r="L24" s="496">
        <v>404.756756756757</v>
      </c>
      <c r="M24" s="496">
        <v>44.5232432432432</v>
      </c>
      <c r="N24" s="498">
        <v>449.28</v>
      </c>
      <c r="O24" s="499">
        <v>24</v>
      </c>
      <c r="P24" s="309"/>
      <c r="Y24" s="168"/>
    </row>
    <row r="25" ht="16.5" hidden="1" customHeight="1" outlineLevel="4" spans="2:25">
      <c r="B25" s="470" t="s">
        <v>1567</v>
      </c>
      <c r="C25" s="473"/>
      <c r="D25" s="474" t="s">
        <v>1568</v>
      </c>
      <c r="E25" s="290"/>
      <c r="F25" s="290" t="s">
        <v>1537</v>
      </c>
      <c r="G25" s="565">
        <v>2.6</v>
      </c>
      <c r="H25" s="477" t="s">
        <v>1015</v>
      </c>
      <c r="I25" s="475">
        <v>187200</v>
      </c>
      <c r="J25" s="500">
        <v>27.9279279279279</v>
      </c>
      <c r="K25" s="497">
        <v>0.11</v>
      </c>
      <c r="L25" s="496">
        <v>1359.30810810811</v>
      </c>
      <c r="M25" s="496">
        <v>149.523891891892</v>
      </c>
      <c r="N25" s="498">
        <v>1508.832</v>
      </c>
      <c r="O25" s="499">
        <v>80.6</v>
      </c>
      <c r="P25" s="309"/>
      <c r="Y25" s="168"/>
    </row>
    <row r="26" ht="16.5" hidden="1" customHeight="1" outlineLevel="4" spans="2:25">
      <c r="B26" s="470" t="s">
        <v>1569</v>
      </c>
      <c r="C26" s="473"/>
      <c r="D26" s="474" t="s">
        <v>1570</v>
      </c>
      <c r="E26" s="290"/>
      <c r="F26" s="290" t="s">
        <v>1537</v>
      </c>
      <c r="G26" s="480">
        <v>1.3</v>
      </c>
      <c r="H26" s="477" t="s">
        <v>1015</v>
      </c>
      <c r="I26" s="475">
        <v>187200</v>
      </c>
      <c r="J26" s="500">
        <v>28.8288288288288</v>
      </c>
      <c r="K26" s="497">
        <v>0.11</v>
      </c>
      <c r="L26" s="496">
        <v>701.578378378378</v>
      </c>
      <c r="M26" s="496">
        <v>77.1736216216216</v>
      </c>
      <c r="N26" s="498">
        <v>778.752</v>
      </c>
      <c r="O26" s="499">
        <v>41.6</v>
      </c>
      <c r="P26" s="309"/>
      <c r="Y26" s="168"/>
    </row>
    <row r="27" ht="16.5" hidden="1" customHeight="1" outlineLevel="4" spans="2:25">
      <c r="B27" s="470" t="s">
        <v>1571</v>
      </c>
      <c r="C27" s="473"/>
      <c r="D27" s="474" t="s">
        <v>1572</v>
      </c>
      <c r="E27" s="290"/>
      <c r="F27" s="290" t="s">
        <v>1537</v>
      </c>
      <c r="G27" s="480">
        <v>0.3</v>
      </c>
      <c r="H27" s="477" t="s">
        <v>1015</v>
      </c>
      <c r="I27" s="475">
        <v>187200</v>
      </c>
      <c r="J27" s="500">
        <v>5.40540540540541</v>
      </c>
      <c r="K27" s="497">
        <v>0.11</v>
      </c>
      <c r="L27" s="496">
        <v>30.3567567567568</v>
      </c>
      <c r="M27" s="496">
        <v>3.33924324324324</v>
      </c>
      <c r="N27" s="498">
        <v>33.696</v>
      </c>
      <c r="O27" s="499">
        <v>1.8</v>
      </c>
      <c r="P27" s="309"/>
      <c r="Y27" s="168"/>
    </row>
    <row r="28" ht="16.5" hidden="1" customHeight="1" outlineLevel="4" spans="2:25">
      <c r="B28" s="470" t="s">
        <v>1573</v>
      </c>
      <c r="C28" s="473"/>
      <c r="D28" s="474" t="s">
        <v>1574</v>
      </c>
      <c r="E28" s="290"/>
      <c r="F28" s="290" t="s">
        <v>1537</v>
      </c>
      <c r="G28" s="480">
        <v>0.9</v>
      </c>
      <c r="H28" s="477" t="s">
        <v>1015</v>
      </c>
      <c r="I28" s="475">
        <v>187200</v>
      </c>
      <c r="J28" s="500">
        <v>18</v>
      </c>
      <c r="K28" s="497">
        <v>0.11</v>
      </c>
      <c r="L28" s="496">
        <v>303.264</v>
      </c>
      <c r="M28" s="496">
        <v>33.35904</v>
      </c>
      <c r="N28" s="498">
        <v>336.62304</v>
      </c>
      <c r="O28" s="499">
        <v>17.982</v>
      </c>
      <c r="P28" s="309"/>
      <c r="Y28" s="168"/>
    </row>
    <row r="29" ht="16.5" customHeight="1" outlineLevel="3" spans="2:25">
      <c r="B29" s="470" t="s">
        <v>1575</v>
      </c>
      <c r="C29" s="473" t="s">
        <v>622</v>
      </c>
      <c r="D29" s="474" t="s">
        <v>1576</v>
      </c>
      <c r="E29" s="290" t="s">
        <v>1356</v>
      </c>
      <c r="F29" s="290" t="s">
        <v>1537</v>
      </c>
      <c r="G29" s="478"/>
      <c r="H29" s="477" t="s">
        <v>655</v>
      </c>
      <c r="I29" s="475">
        <v>187200</v>
      </c>
      <c r="J29" s="200">
        <v>2.76923076923077</v>
      </c>
      <c r="K29" s="497">
        <v>0.17</v>
      </c>
      <c r="L29" s="496">
        <v>0</v>
      </c>
      <c r="M29" s="496">
        <v>0</v>
      </c>
      <c r="N29" s="498">
        <v>0</v>
      </c>
      <c r="O29" s="499">
        <v>0</v>
      </c>
      <c r="P29" s="236"/>
      <c r="Y29" s="168"/>
    </row>
    <row r="30" ht="16.5" hidden="1" customHeight="1" outlineLevel="3" collapsed="1" spans="2:25">
      <c r="B30" s="470" t="s">
        <v>1577</v>
      </c>
      <c r="C30" s="473" t="s">
        <v>622</v>
      </c>
      <c r="D30" s="474" t="s">
        <v>1578</v>
      </c>
      <c r="E30" s="479" t="s">
        <v>774</v>
      </c>
      <c r="F30" s="479"/>
      <c r="G30" s="478"/>
      <c r="H30" s="477"/>
      <c r="I30" s="200"/>
      <c r="J30" s="200">
        <v>0</v>
      </c>
      <c r="K30" s="41"/>
      <c r="L30" s="498">
        <v>15.70124</v>
      </c>
      <c r="M30" s="498">
        <v>1.7271364</v>
      </c>
      <c r="N30" s="498">
        <v>17.4283764</v>
      </c>
      <c r="O30" s="499">
        <v>0.931003012820513</v>
      </c>
      <c r="P30" s="236"/>
      <c r="Y30" s="168"/>
    </row>
    <row r="31" ht="16.5" hidden="1" customHeight="1" outlineLevel="4" spans="2:25">
      <c r="B31" s="470" t="s">
        <v>1579</v>
      </c>
      <c r="C31" s="473"/>
      <c r="D31" s="474" t="s">
        <v>1580</v>
      </c>
      <c r="E31" s="290"/>
      <c r="F31" s="290" t="s">
        <v>862</v>
      </c>
      <c r="G31" s="478">
        <v>1.3</v>
      </c>
      <c r="H31" s="477" t="s">
        <v>1015</v>
      </c>
      <c r="I31" s="475">
        <v>5650</v>
      </c>
      <c r="J31" s="200">
        <v>14</v>
      </c>
      <c r="K31" s="497">
        <v>0.11</v>
      </c>
      <c r="L31" s="496">
        <v>10.283</v>
      </c>
      <c r="M31" s="496">
        <v>1.13113</v>
      </c>
      <c r="N31" s="498">
        <v>11.41413</v>
      </c>
      <c r="O31" s="499">
        <v>0.609729166666667</v>
      </c>
      <c r="P31" s="236"/>
      <c r="Y31" s="168"/>
    </row>
    <row r="32" ht="16.5" hidden="1" customHeight="1" outlineLevel="4" spans="2:25">
      <c r="B32" s="470" t="s">
        <v>1581</v>
      </c>
      <c r="C32" s="473"/>
      <c r="D32" s="474" t="s">
        <v>1582</v>
      </c>
      <c r="E32" s="290"/>
      <c r="F32" s="290" t="s">
        <v>601</v>
      </c>
      <c r="G32" s="478">
        <v>2.4</v>
      </c>
      <c r="H32" s="477" t="s">
        <v>1015</v>
      </c>
      <c r="I32" s="475">
        <v>1328</v>
      </c>
      <c r="J32" s="200">
        <v>17</v>
      </c>
      <c r="K32" s="497">
        <v>0.11</v>
      </c>
      <c r="L32" s="496">
        <v>5.41824</v>
      </c>
      <c r="M32" s="496">
        <v>0.5960064</v>
      </c>
      <c r="N32" s="498">
        <v>6.0142464</v>
      </c>
      <c r="O32" s="499">
        <v>0.321273846153846</v>
      </c>
      <c r="P32" s="236"/>
      <c r="Y32" s="168"/>
    </row>
    <row r="33" ht="16.5" hidden="1" customHeight="1" outlineLevel="3" collapsed="1" spans="2:25">
      <c r="B33" s="470" t="s">
        <v>1583</v>
      </c>
      <c r="C33" s="473" t="s">
        <v>622</v>
      </c>
      <c r="D33" s="474" t="s">
        <v>1584</v>
      </c>
      <c r="E33" s="479" t="s">
        <v>1357</v>
      </c>
      <c r="F33" s="479"/>
      <c r="G33" s="478"/>
      <c r="H33" s="477"/>
      <c r="I33" s="200"/>
      <c r="J33" s="200"/>
      <c r="K33" s="41"/>
      <c r="L33" s="498">
        <v>110.489666666667</v>
      </c>
      <c r="M33" s="498">
        <v>18.7832433333333</v>
      </c>
      <c r="N33" s="498">
        <v>129.27291</v>
      </c>
      <c r="O33" s="499">
        <v>6.90560416666667</v>
      </c>
      <c r="P33" s="236"/>
      <c r="Y33" s="168"/>
    </row>
    <row r="34" ht="16.5" hidden="1" customHeight="1" outlineLevel="4" spans="2:25">
      <c r="B34" s="470" t="s">
        <v>1585</v>
      </c>
      <c r="C34" s="473"/>
      <c r="D34" s="474" t="s">
        <v>1586</v>
      </c>
      <c r="E34" s="290"/>
      <c r="F34" s="290" t="s">
        <v>862</v>
      </c>
      <c r="G34" s="478">
        <v>1.3</v>
      </c>
      <c r="H34" s="477" t="s">
        <v>1015</v>
      </c>
      <c r="I34" s="475">
        <v>5650</v>
      </c>
      <c r="J34" s="200">
        <v>54</v>
      </c>
      <c r="K34" s="497">
        <v>0.17</v>
      </c>
      <c r="L34" s="496">
        <v>39.663</v>
      </c>
      <c r="M34" s="496">
        <v>6.74271</v>
      </c>
      <c r="N34" s="498">
        <v>46.40571</v>
      </c>
      <c r="O34" s="499">
        <v>2.4789375</v>
      </c>
      <c r="P34" s="236"/>
      <c r="Y34" s="168"/>
    </row>
    <row r="35" ht="16.5" hidden="1" customHeight="1" outlineLevel="4" spans="2:25">
      <c r="B35" s="470" t="s">
        <v>1587</v>
      </c>
      <c r="C35" s="473"/>
      <c r="D35" s="474" t="s">
        <v>1588</v>
      </c>
      <c r="E35" s="290"/>
      <c r="F35" s="290" t="s">
        <v>601</v>
      </c>
      <c r="G35" s="478">
        <v>2.4</v>
      </c>
      <c r="H35" s="477" t="s">
        <v>1015</v>
      </c>
      <c r="I35" s="475">
        <v>1328</v>
      </c>
      <c r="J35" s="200">
        <v>4.27350427350427</v>
      </c>
      <c r="K35" s="497">
        <v>0.17</v>
      </c>
      <c r="L35" s="496">
        <v>1.36205128205128</v>
      </c>
      <c r="M35" s="496">
        <v>0.231548717948718</v>
      </c>
      <c r="N35" s="498">
        <v>1.5936</v>
      </c>
      <c r="O35" s="499">
        <v>0.0851282051282051</v>
      </c>
      <c r="P35" s="236"/>
      <c r="Y35" s="168"/>
    </row>
    <row r="36" ht="16.5" hidden="1" customHeight="1" outlineLevel="4" spans="2:25">
      <c r="B36" s="470" t="s">
        <v>1589</v>
      </c>
      <c r="C36" s="473"/>
      <c r="D36" s="474" t="s">
        <v>1590</v>
      </c>
      <c r="E36" s="290"/>
      <c r="F36" s="290" t="s">
        <v>601</v>
      </c>
      <c r="G36" s="255">
        <v>24</v>
      </c>
      <c r="H36" s="477" t="s">
        <v>1015</v>
      </c>
      <c r="I36" s="475">
        <v>1328</v>
      </c>
      <c r="J36" s="200">
        <v>6.83760683760684</v>
      </c>
      <c r="K36" s="497">
        <v>0.17</v>
      </c>
      <c r="L36" s="496">
        <v>21.7928205128205</v>
      </c>
      <c r="M36" s="496">
        <v>3.70477948717949</v>
      </c>
      <c r="N36" s="498">
        <v>25.4976</v>
      </c>
      <c r="O36" s="499">
        <v>1.36205128205128</v>
      </c>
      <c r="P36" s="236"/>
      <c r="Y36" s="168"/>
    </row>
    <row r="37" ht="16.5" hidden="1" customHeight="1" outlineLevel="4" spans="2:25">
      <c r="B37" s="470" t="s">
        <v>1591</v>
      </c>
      <c r="C37" s="473"/>
      <c r="D37" s="474" t="s">
        <v>1592</v>
      </c>
      <c r="E37" s="290"/>
      <c r="F37" s="290" t="s">
        <v>601</v>
      </c>
      <c r="G37" s="255">
        <v>12</v>
      </c>
      <c r="H37" s="477" t="s">
        <v>1015</v>
      </c>
      <c r="I37" s="475">
        <v>1328</v>
      </c>
      <c r="J37" s="475">
        <v>21.3675213675214</v>
      </c>
      <c r="K37" s="497">
        <v>0.17</v>
      </c>
      <c r="L37" s="496">
        <v>34.0512820512821</v>
      </c>
      <c r="M37" s="496">
        <v>5.78871794871795</v>
      </c>
      <c r="N37" s="498">
        <v>39.84</v>
      </c>
      <c r="O37" s="499">
        <v>2.12820512820513</v>
      </c>
      <c r="P37" s="236"/>
      <c r="Y37" s="168"/>
    </row>
    <row r="38" ht="16.5" hidden="1" customHeight="1" outlineLevel="4" spans="2:25">
      <c r="B38" s="470" t="s">
        <v>1593</v>
      </c>
      <c r="C38" s="473"/>
      <c r="D38" s="474" t="s">
        <v>1594</v>
      </c>
      <c r="E38" s="290"/>
      <c r="F38" s="290" t="s">
        <v>601</v>
      </c>
      <c r="G38" s="255">
        <v>15</v>
      </c>
      <c r="H38" s="477" t="s">
        <v>1015</v>
      </c>
      <c r="I38" s="475">
        <v>1328</v>
      </c>
      <c r="J38" s="200">
        <v>6.83760683760684</v>
      </c>
      <c r="K38" s="497">
        <v>0.17</v>
      </c>
      <c r="L38" s="496">
        <v>13.6205128205128</v>
      </c>
      <c r="M38" s="496">
        <v>2.31548717948718</v>
      </c>
      <c r="N38" s="498">
        <v>15.936</v>
      </c>
      <c r="O38" s="499">
        <v>0.851282051282051</v>
      </c>
      <c r="P38" s="236"/>
      <c r="Y38" s="168"/>
    </row>
    <row r="39" ht="16.5" hidden="1" customHeight="1" outlineLevel="3" collapsed="1" spans="2:25">
      <c r="B39" s="470" t="s">
        <v>1595</v>
      </c>
      <c r="C39" s="473" t="s">
        <v>622</v>
      </c>
      <c r="D39" s="474" t="s">
        <v>1596</v>
      </c>
      <c r="E39" s="479" t="s">
        <v>1358</v>
      </c>
      <c r="F39" s="479"/>
      <c r="G39" s="478"/>
      <c r="H39" s="477"/>
      <c r="I39" s="200"/>
      <c r="J39" s="200"/>
      <c r="K39" s="41"/>
      <c r="L39" s="498">
        <v>157.996108108108</v>
      </c>
      <c r="M39" s="498">
        <v>17.3795718918919</v>
      </c>
      <c r="N39" s="498">
        <v>175.37568</v>
      </c>
      <c r="O39" s="499">
        <v>9.36835897435898</v>
      </c>
      <c r="P39" s="236"/>
      <c r="Y39" s="168"/>
    </row>
    <row r="40" ht="16.5" hidden="1" customHeight="1" outlineLevel="4" spans="2:25">
      <c r="B40" s="470" t="s">
        <v>1597</v>
      </c>
      <c r="C40" s="473"/>
      <c r="D40" s="474" t="s">
        <v>1598</v>
      </c>
      <c r="E40" s="290"/>
      <c r="F40" s="290" t="s">
        <v>601</v>
      </c>
      <c r="G40" s="255">
        <v>24</v>
      </c>
      <c r="H40" s="477" t="s">
        <v>1015</v>
      </c>
      <c r="I40" s="475">
        <v>1328</v>
      </c>
      <c r="J40" s="200">
        <v>16.1981981981982</v>
      </c>
      <c r="K40" s="497">
        <v>0.11</v>
      </c>
      <c r="L40" s="496">
        <v>51.6268972972973</v>
      </c>
      <c r="M40" s="496">
        <v>5.6789587027027</v>
      </c>
      <c r="N40" s="498">
        <v>57.305856</v>
      </c>
      <c r="O40" s="499">
        <v>3.06121025641026</v>
      </c>
      <c r="P40" s="236"/>
      <c r="Y40" s="168"/>
    </row>
    <row r="41" ht="16.5" hidden="1" customHeight="1" outlineLevel="4" spans="2:25">
      <c r="B41" s="470" t="s">
        <v>1599</v>
      </c>
      <c r="C41" s="473"/>
      <c r="D41" s="474" t="s">
        <v>1600</v>
      </c>
      <c r="E41" s="290"/>
      <c r="F41" s="290" t="s">
        <v>601</v>
      </c>
      <c r="G41" s="255">
        <v>12</v>
      </c>
      <c r="H41" s="477" t="s">
        <v>1015</v>
      </c>
      <c r="I41" s="475">
        <v>1328</v>
      </c>
      <c r="J41" s="475">
        <v>46.5</v>
      </c>
      <c r="K41" s="497">
        <v>0.11</v>
      </c>
      <c r="L41" s="496">
        <v>74.1024</v>
      </c>
      <c r="M41" s="496">
        <v>8.151264</v>
      </c>
      <c r="N41" s="498">
        <v>82.253664</v>
      </c>
      <c r="O41" s="499">
        <v>4.39389230769231</v>
      </c>
      <c r="P41" s="236"/>
      <c r="Y41" s="168"/>
    </row>
    <row r="42" ht="16.5" hidden="1" customHeight="1" outlineLevel="4" spans="2:25">
      <c r="B42" s="470" t="s">
        <v>1601</v>
      </c>
      <c r="C42" s="473"/>
      <c r="D42" s="474" t="s">
        <v>1602</v>
      </c>
      <c r="E42" s="290"/>
      <c r="F42" s="290" t="s">
        <v>601</v>
      </c>
      <c r="G42" s="255">
        <v>15</v>
      </c>
      <c r="H42" s="477" t="s">
        <v>1015</v>
      </c>
      <c r="I42" s="475">
        <v>1328</v>
      </c>
      <c r="J42" s="200">
        <v>16.1981981981982</v>
      </c>
      <c r="K42" s="497">
        <v>0.11</v>
      </c>
      <c r="L42" s="496">
        <v>32.2668108108108</v>
      </c>
      <c r="M42" s="496">
        <v>3.54934918918919</v>
      </c>
      <c r="N42" s="498">
        <v>35.81616</v>
      </c>
      <c r="O42" s="499">
        <v>1.91325641025641</v>
      </c>
      <c r="P42" s="236"/>
      <c r="Y42" s="168"/>
    </row>
    <row r="43" ht="16.5" hidden="1" customHeight="1" outlineLevel="3" collapsed="1" spans="2:25">
      <c r="B43" s="470" t="s">
        <v>1603</v>
      </c>
      <c r="C43" s="473" t="s">
        <v>622</v>
      </c>
      <c r="D43" s="474" t="s">
        <v>1604</v>
      </c>
      <c r="E43" s="290" t="s">
        <v>774</v>
      </c>
      <c r="F43" s="290" t="s">
        <v>1537</v>
      </c>
      <c r="G43" s="478"/>
      <c r="H43" s="477"/>
      <c r="I43" s="475"/>
      <c r="J43" s="200">
        <v>0</v>
      </c>
      <c r="K43" s="497"/>
      <c r="L43" s="498">
        <v>3288.63852972973</v>
      </c>
      <c r="M43" s="498">
        <v>361.75023827027</v>
      </c>
      <c r="N43" s="498">
        <v>3650.388768</v>
      </c>
      <c r="O43" s="499">
        <v>194.9994</v>
      </c>
      <c r="P43" s="236"/>
      <c r="Y43" s="168"/>
    </row>
    <row r="44" ht="16.5" hidden="1" customHeight="1" outlineLevel="4" spans="2:25">
      <c r="B44" s="470" t="s">
        <v>1605</v>
      </c>
      <c r="C44" s="473"/>
      <c r="D44" s="474" t="s">
        <v>1606</v>
      </c>
      <c r="E44" s="290"/>
      <c r="F44" s="290" t="s">
        <v>1537</v>
      </c>
      <c r="G44" s="478">
        <v>1</v>
      </c>
      <c r="H44" s="477" t="s">
        <v>1015</v>
      </c>
      <c r="I44" s="475">
        <v>187200</v>
      </c>
      <c r="J44" s="200">
        <v>40.54</v>
      </c>
      <c r="K44" s="497">
        <v>0.11</v>
      </c>
      <c r="L44" s="496">
        <v>758.9088</v>
      </c>
      <c r="M44" s="496">
        <v>83.479968</v>
      </c>
      <c r="N44" s="498">
        <v>842.388768</v>
      </c>
      <c r="O44" s="499">
        <v>44.9994</v>
      </c>
      <c r="P44" s="236"/>
      <c r="Y44" s="168"/>
    </row>
    <row r="45" ht="16.5" customHeight="1" outlineLevel="4" spans="2:25">
      <c r="B45" s="470" t="s">
        <v>1607</v>
      </c>
      <c r="C45" s="473"/>
      <c r="D45" s="474" t="s">
        <v>1608</v>
      </c>
      <c r="E45" s="290"/>
      <c r="F45" s="290" t="s">
        <v>1537</v>
      </c>
      <c r="G45" s="478"/>
      <c r="H45" s="477" t="s">
        <v>1015</v>
      </c>
      <c r="I45" s="475">
        <v>187200</v>
      </c>
      <c r="J45" s="200">
        <v>9.00900900900901</v>
      </c>
      <c r="K45" s="497">
        <v>0.11</v>
      </c>
      <c r="L45" s="496">
        <v>0</v>
      </c>
      <c r="M45" s="496">
        <v>0</v>
      </c>
      <c r="N45" s="498">
        <v>0</v>
      </c>
      <c r="O45" s="499">
        <v>0</v>
      </c>
      <c r="P45" s="236"/>
      <c r="Y45" s="168"/>
    </row>
    <row r="46" ht="16.5" customHeight="1" outlineLevel="4" spans="2:25">
      <c r="B46" s="470" t="s">
        <v>1609</v>
      </c>
      <c r="C46" s="473"/>
      <c r="D46" s="474" t="s">
        <v>1610</v>
      </c>
      <c r="E46" s="290"/>
      <c r="F46" s="290" t="s">
        <v>1537</v>
      </c>
      <c r="G46" s="478"/>
      <c r="H46" s="477" t="s">
        <v>1015</v>
      </c>
      <c r="I46" s="475">
        <v>187200</v>
      </c>
      <c r="J46" s="200">
        <v>34.2342342342342</v>
      </c>
      <c r="K46" s="497">
        <v>0.11</v>
      </c>
      <c r="L46" s="496">
        <v>0</v>
      </c>
      <c r="M46" s="496">
        <v>0</v>
      </c>
      <c r="N46" s="498">
        <v>0</v>
      </c>
      <c r="O46" s="499">
        <v>0</v>
      </c>
      <c r="P46" s="236"/>
      <c r="Y46" s="168"/>
    </row>
    <row r="47" ht="16.5" customHeight="1" outlineLevel="4" spans="2:25">
      <c r="B47" s="470" t="s">
        <v>1611</v>
      </c>
      <c r="C47" s="473"/>
      <c r="D47" s="474" t="s">
        <v>1612</v>
      </c>
      <c r="E47" s="290"/>
      <c r="F47" s="290" t="s">
        <v>1537</v>
      </c>
      <c r="G47" s="478"/>
      <c r="H47" s="477" t="s">
        <v>1015</v>
      </c>
      <c r="I47" s="475">
        <v>187200</v>
      </c>
      <c r="J47" s="200">
        <v>39.6396396396396</v>
      </c>
      <c r="K47" s="497">
        <v>0.11</v>
      </c>
      <c r="L47" s="496">
        <v>0</v>
      </c>
      <c r="M47" s="496">
        <v>0</v>
      </c>
      <c r="N47" s="498">
        <v>0</v>
      </c>
      <c r="O47" s="499">
        <v>0</v>
      </c>
      <c r="P47" s="236"/>
      <c r="Y47" s="168"/>
    </row>
    <row r="48" ht="16.5" hidden="1" customHeight="1" outlineLevel="4" spans="2:25">
      <c r="B48" s="470" t="s">
        <v>1613</v>
      </c>
      <c r="C48" s="473"/>
      <c r="D48" s="474" t="s">
        <v>1614</v>
      </c>
      <c r="E48" s="290"/>
      <c r="F48" s="290" t="s">
        <v>1537</v>
      </c>
      <c r="G48" s="478">
        <v>1</v>
      </c>
      <c r="H48" s="477" t="s">
        <v>1015</v>
      </c>
      <c r="I48" s="475">
        <v>187200</v>
      </c>
      <c r="J48" s="200">
        <v>135.135135135135</v>
      </c>
      <c r="K48" s="497">
        <v>0.11</v>
      </c>
      <c r="L48" s="496">
        <v>2529.72972972973</v>
      </c>
      <c r="M48" s="496">
        <v>278.27027027027</v>
      </c>
      <c r="N48" s="498">
        <v>2808</v>
      </c>
      <c r="O48" s="499">
        <v>150</v>
      </c>
      <c r="P48" s="236"/>
      <c r="Y48" s="168"/>
    </row>
    <row r="49" ht="16.5" hidden="1" customHeight="1" outlineLevel="3" collapsed="1" spans="2:25">
      <c r="B49" s="470" t="s">
        <v>1615</v>
      </c>
      <c r="C49" s="473" t="s">
        <v>622</v>
      </c>
      <c r="D49" s="474" t="s">
        <v>1616</v>
      </c>
      <c r="E49" s="479" t="s">
        <v>774</v>
      </c>
      <c r="F49" s="479"/>
      <c r="G49" s="478"/>
      <c r="H49" s="477"/>
      <c r="I49" s="475"/>
      <c r="J49" s="200">
        <v>0</v>
      </c>
      <c r="K49" s="497"/>
      <c r="L49" s="498">
        <v>1538.3711981982</v>
      </c>
      <c r="M49" s="498">
        <v>169.220831801802</v>
      </c>
      <c r="N49" s="498">
        <v>1707.59203</v>
      </c>
      <c r="O49" s="499">
        <v>91.2175229700855</v>
      </c>
      <c r="P49" s="236"/>
      <c r="Y49" s="168"/>
    </row>
    <row r="50" ht="16.5" hidden="1" customHeight="1" outlineLevel="4" spans="2:25">
      <c r="B50" s="470" t="s">
        <v>1617</v>
      </c>
      <c r="C50" s="473"/>
      <c r="D50" s="474" t="s">
        <v>1618</v>
      </c>
      <c r="E50" s="290"/>
      <c r="F50" s="290" t="s">
        <v>1537</v>
      </c>
      <c r="G50" s="478">
        <v>1.2</v>
      </c>
      <c r="H50" s="477" t="s">
        <v>1015</v>
      </c>
      <c r="I50" s="475">
        <v>187200</v>
      </c>
      <c r="J50" s="475">
        <v>58.5585585585586</v>
      </c>
      <c r="K50" s="497">
        <v>0.11</v>
      </c>
      <c r="L50" s="496">
        <v>1315.45945945946</v>
      </c>
      <c r="M50" s="496">
        <v>144.700540540541</v>
      </c>
      <c r="N50" s="498">
        <v>1460.16</v>
      </c>
      <c r="O50" s="499">
        <v>78</v>
      </c>
      <c r="P50" s="236"/>
      <c r="Y50" s="168"/>
    </row>
    <row r="51" ht="16.5" hidden="1" customHeight="1" outlineLevel="4" spans="2:25">
      <c r="B51" s="470" t="s">
        <v>1619</v>
      </c>
      <c r="C51" s="473"/>
      <c r="D51" s="474" t="s">
        <v>1620</v>
      </c>
      <c r="E51" s="290"/>
      <c r="F51" s="479" t="s">
        <v>862</v>
      </c>
      <c r="G51" s="478">
        <v>1</v>
      </c>
      <c r="H51" s="477" t="s">
        <v>1015</v>
      </c>
      <c r="I51" s="475">
        <v>5650</v>
      </c>
      <c r="J51" s="475">
        <v>19.8198198198198</v>
      </c>
      <c r="K51" s="497">
        <v>0.11</v>
      </c>
      <c r="L51" s="496">
        <v>11.1981981981982</v>
      </c>
      <c r="M51" s="496">
        <v>1.2318018018018</v>
      </c>
      <c r="N51" s="498">
        <v>12.43</v>
      </c>
      <c r="O51" s="499">
        <v>0.663995726495726</v>
      </c>
      <c r="P51" s="236"/>
      <c r="Y51" s="168"/>
    </row>
    <row r="52" ht="16.5" hidden="1" customHeight="1" outlineLevel="4" spans="2:25">
      <c r="B52" s="470" t="s">
        <v>1621</v>
      </c>
      <c r="C52" s="473"/>
      <c r="D52" s="474" t="s">
        <v>1622</v>
      </c>
      <c r="E52" s="290"/>
      <c r="F52" s="290" t="s">
        <v>1537</v>
      </c>
      <c r="G52" s="478">
        <v>0.8</v>
      </c>
      <c r="H52" s="477" t="s">
        <v>1015</v>
      </c>
      <c r="I52" s="475">
        <v>187200</v>
      </c>
      <c r="J52" s="475">
        <v>13.4954954954955</v>
      </c>
      <c r="K52" s="497">
        <v>0.11</v>
      </c>
      <c r="L52" s="496">
        <v>202.108540540541</v>
      </c>
      <c r="M52" s="496">
        <v>22.2319394594595</v>
      </c>
      <c r="N52" s="498">
        <v>224.34048</v>
      </c>
      <c r="O52" s="499">
        <v>11.984</v>
      </c>
      <c r="P52" s="236"/>
      <c r="Y52" s="168"/>
    </row>
    <row r="53" ht="16.5" hidden="1" customHeight="1" outlineLevel="4" spans="2:25">
      <c r="B53" s="470" t="s">
        <v>1623</v>
      </c>
      <c r="C53" s="473"/>
      <c r="D53" s="474" t="s">
        <v>1624</v>
      </c>
      <c r="E53" s="479"/>
      <c r="F53" s="479" t="s">
        <v>862</v>
      </c>
      <c r="G53" s="478">
        <v>1</v>
      </c>
      <c r="H53" s="477" t="s">
        <v>655</v>
      </c>
      <c r="I53" s="475">
        <v>5650</v>
      </c>
      <c r="J53" s="475">
        <v>17</v>
      </c>
      <c r="K53" s="497">
        <v>0.11</v>
      </c>
      <c r="L53" s="496">
        <v>9.605</v>
      </c>
      <c r="M53" s="496">
        <v>1.05655</v>
      </c>
      <c r="N53" s="498">
        <v>10.66155</v>
      </c>
      <c r="O53" s="499">
        <v>0.569527243589744</v>
      </c>
      <c r="P53" s="236"/>
      <c r="Y53" s="168"/>
    </row>
    <row r="54" ht="16.5" hidden="1" customHeight="1" outlineLevel="3" spans="2:25">
      <c r="B54" s="470" t="s">
        <v>1625</v>
      </c>
      <c r="C54" s="473" t="s">
        <v>622</v>
      </c>
      <c r="D54" s="474" t="s">
        <v>1626</v>
      </c>
      <c r="E54" s="479" t="s">
        <v>774</v>
      </c>
      <c r="F54" s="479"/>
      <c r="G54" s="478"/>
      <c r="H54" s="477"/>
      <c r="I54" s="200"/>
      <c r="J54" s="200">
        <v>0</v>
      </c>
      <c r="K54" s="41"/>
      <c r="L54" s="498">
        <v>45.2</v>
      </c>
      <c r="M54" s="498">
        <v>7.684</v>
      </c>
      <c r="N54" s="498">
        <v>23.13675</v>
      </c>
      <c r="O54" s="499">
        <v>1.2359375</v>
      </c>
      <c r="P54" s="236"/>
      <c r="Y54" s="168"/>
    </row>
    <row r="55" ht="16.5" customHeight="1" outlineLevel="4" spans="2:25">
      <c r="B55" s="470" t="s">
        <v>1627</v>
      </c>
      <c r="C55" s="473"/>
      <c r="D55" s="474" t="s">
        <v>1628</v>
      </c>
      <c r="E55" s="290"/>
      <c r="F55" s="290" t="s">
        <v>1537</v>
      </c>
      <c r="G55" s="478"/>
      <c r="H55" s="477" t="s">
        <v>1015</v>
      </c>
      <c r="I55" s="475">
        <v>187200</v>
      </c>
      <c r="J55" s="200">
        <v>43</v>
      </c>
      <c r="K55" s="497">
        <v>0.17</v>
      </c>
      <c r="L55" s="496">
        <v>0</v>
      </c>
      <c r="M55" s="496">
        <v>0</v>
      </c>
      <c r="N55" s="498">
        <v>0</v>
      </c>
      <c r="O55" s="499">
        <v>0</v>
      </c>
      <c r="P55" s="236"/>
      <c r="Y55" s="168"/>
    </row>
    <row r="56" ht="16.5" hidden="1" customHeight="1" outlineLevel="4" spans="2:25">
      <c r="B56" s="470" t="s">
        <v>1629</v>
      </c>
      <c r="C56" s="473"/>
      <c r="D56" s="474" t="s">
        <v>1630</v>
      </c>
      <c r="E56" s="290"/>
      <c r="F56" s="479" t="s">
        <v>862</v>
      </c>
      <c r="G56" s="478">
        <v>1</v>
      </c>
      <c r="H56" s="477" t="s">
        <v>1015</v>
      </c>
      <c r="I56" s="475">
        <v>5650</v>
      </c>
      <c r="J56" s="475">
        <v>45</v>
      </c>
      <c r="K56" s="497">
        <v>0.17</v>
      </c>
      <c r="L56" s="496">
        <v>25.425</v>
      </c>
      <c r="M56" s="496">
        <v>4.32225</v>
      </c>
      <c r="N56" s="498">
        <v>29.74725</v>
      </c>
      <c r="O56" s="499">
        <v>1.5890625</v>
      </c>
      <c r="P56" s="236"/>
      <c r="Y56" s="168"/>
    </row>
    <row r="57" ht="16.5" customHeight="1" outlineLevel="4" spans="2:25">
      <c r="B57" s="470" t="s">
        <v>1631</v>
      </c>
      <c r="C57" s="473"/>
      <c r="D57" s="474" t="s">
        <v>1632</v>
      </c>
      <c r="E57" s="290"/>
      <c r="F57" s="479"/>
      <c r="G57" s="478"/>
      <c r="H57" s="477"/>
      <c r="I57" s="475"/>
      <c r="J57" s="475">
        <v>0</v>
      </c>
      <c r="K57" s="497">
        <v>0.17</v>
      </c>
      <c r="L57" s="496">
        <v>0</v>
      </c>
      <c r="M57" s="496">
        <v>0</v>
      </c>
      <c r="N57" s="498">
        <v>0</v>
      </c>
      <c r="O57" s="499">
        <v>0</v>
      </c>
      <c r="P57" s="236"/>
      <c r="Y57" s="168"/>
    </row>
    <row r="58" ht="16.5" hidden="1" customHeight="1" outlineLevel="4" spans="2:25">
      <c r="B58" s="470" t="s">
        <v>1633</v>
      </c>
      <c r="C58" s="473"/>
      <c r="D58" s="474" t="s">
        <v>1634</v>
      </c>
      <c r="E58" s="479"/>
      <c r="F58" s="479" t="s">
        <v>862</v>
      </c>
      <c r="G58" s="478">
        <v>1</v>
      </c>
      <c r="H58" s="477" t="s">
        <v>655</v>
      </c>
      <c r="I58" s="475">
        <v>5650</v>
      </c>
      <c r="J58" s="475">
        <v>35</v>
      </c>
      <c r="K58" s="497">
        <v>0.17</v>
      </c>
      <c r="L58" s="496">
        <v>19.775</v>
      </c>
      <c r="M58" s="496">
        <v>3.36175</v>
      </c>
      <c r="N58" s="498">
        <v>23.13675</v>
      </c>
      <c r="O58" s="499">
        <v>1.2359375</v>
      </c>
      <c r="P58" s="236"/>
      <c r="Y58" s="168"/>
    </row>
    <row r="59" ht="16.5" hidden="1" customHeight="1" outlineLevel="3" spans="2:25">
      <c r="B59" s="470" t="s">
        <v>1635</v>
      </c>
      <c r="C59" s="473" t="s">
        <v>622</v>
      </c>
      <c r="D59" s="474" t="s">
        <v>1636</v>
      </c>
      <c r="E59" s="479" t="s">
        <v>774</v>
      </c>
      <c r="F59" s="479" t="s">
        <v>601</v>
      </c>
      <c r="G59" s="478">
        <v>3</v>
      </c>
      <c r="H59" s="477" t="s">
        <v>1637</v>
      </c>
      <c r="I59" s="200">
        <v>1328</v>
      </c>
      <c r="J59" s="200">
        <v>100</v>
      </c>
      <c r="K59" s="41">
        <v>0.11</v>
      </c>
      <c r="L59" s="496">
        <v>39.84</v>
      </c>
      <c r="M59" s="496">
        <v>4.3824</v>
      </c>
      <c r="N59" s="498">
        <v>44.2224</v>
      </c>
      <c r="O59" s="499">
        <v>2.36230769230769</v>
      </c>
      <c r="P59" s="236"/>
      <c r="Y59" s="168"/>
    </row>
    <row r="60" ht="16.5" hidden="1" customHeight="1" outlineLevel="3" spans="2:25">
      <c r="B60" s="470" t="s">
        <v>1638</v>
      </c>
      <c r="C60" s="473" t="s">
        <v>622</v>
      </c>
      <c r="D60" s="474" t="s">
        <v>1639</v>
      </c>
      <c r="E60" s="290" t="s">
        <v>774</v>
      </c>
      <c r="F60" s="290" t="s">
        <v>1537</v>
      </c>
      <c r="G60" s="478">
        <v>1</v>
      </c>
      <c r="H60" s="477" t="s">
        <v>655</v>
      </c>
      <c r="I60" s="475">
        <v>187200</v>
      </c>
      <c r="J60" s="200">
        <v>9</v>
      </c>
      <c r="K60" s="497">
        <v>0.11</v>
      </c>
      <c r="L60" s="496">
        <v>168.48</v>
      </c>
      <c r="M60" s="496">
        <v>18.5328</v>
      </c>
      <c r="N60" s="498">
        <v>187.0128</v>
      </c>
      <c r="O60" s="499">
        <v>9.99</v>
      </c>
      <c r="P60" s="236"/>
      <c r="Y60" s="168"/>
    </row>
    <row r="61" ht="16.5" customHeight="1" outlineLevel="3" spans="2:25">
      <c r="B61" s="470" t="s">
        <v>1640</v>
      </c>
      <c r="C61" s="473" t="s">
        <v>622</v>
      </c>
      <c r="D61" s="474" t="s">
        <v>1641</v>
      </c>
      <c r="E61" s="479" t="s">
        <v>774</v>
      </c>
      <c r="F61" s="479"/>
      <c r="G61" s="478"/>
      <c r="H61" s="477"/>
      <c r="I61" s="200"/>
      <c r="J61" s="200">
        <v>0</v>
      </c>
      <c r="K61" s="41">
        <v>0.11</v>
      </c>
      <c r="L61" s="496">
        <v>0</v>
      </c>
      <c r="M61" s="496">
        <v>0</v>
      </c>
      <c r="N61" s="498">
        <v>0</v>
      </c>
      <c r="O61" s="499">
        <v>0</v>
      </c>
      <c r="P61" s="236"/>
      <c r="Y61" s="168"/>
    </row>
    <row r="62" ht="20.25" customHeight="1" outlineLevel="3" spans="2:25">
      <c r="B62" s="470" t="s">
        <v>1642</v>
      </c>
      <c r="C62" s="473" t="s">
        <v>622</v>
      </c>
      <c r="D62" s="474" t="s">
        <v>1643</v>
      </c>
      <c r="E62" s="479" t="s">
        <v>774</v>
      </c>
      <c r="F62" s="479"/>
      <c r="G62" s="478"/>
      <c r="H62" s="477"/>
      <c r="I62" s="200"/>
      <c r="J62" s="200">
        <v>0</v>
      </c>
      <c r="K62" s="41"/>
      <c r="L62" s="498">
        <v>0</v>
      </c>
      <c r="M62" s="498">
        <v>0</v>
      </c>
      <c r="N62" s="498">
        <v>0</v>
      </c>
      <c r="O62" s="499">
        <v>0</v>
      </c>
      <c r="P62" s="236"/>
      <c r="Y62" s="168"/>
    </row>
    <row r="63" ht="18" customHeight="1" outlineLevel="4" spans="2:25">
      <c r="B63" s="470" t="s">
        <v>1644</v>
      </c>
      <c r="C63" s="473"/>
      <c r="D63" s="474" t="s">
        <v>1645</v>
      </c>
      <c r="E63" s="479"/>
      <c r="F63" s="479" t="s">
        <v>505</v>
      </c>
      <c r="G63" s="478"/>
      <c r="H63" s="477" t="s">
        <v>655</v>
      </c>
      <c r="I63" s="475">
        <v>187200</v>
      </c>
      <c r="J63" s="200">
        <v>7.45045045045045</v>
      </c>
      <c r="K63" s="497">
        <v>0.11</v>
      </c>
      <c r="L63" s="496">
        <v>0</v>
      </c>
      <c r="M63" s="496">
        <v>0</v>
      </c>
      <c r="N63" s="498">
        <v>0</v>
      </c>
      <c r="O63" s="499">
        <v>0</v>
      </c>
      <c r="P63" s="236"/>
      <c r="Y63" s="168"/>
    </row>
    <row r="64" ht="16.5" customHeight="1" outlineLevel="4" spans="2:25">
      <c r="B64" s="470" t="s">
        <v>1646</v>
      </c>
      <c r="C64" s="473"/>
      <c r="D64" s="474" t="s">
        <v>1647</v>
      </c>
      <c r="E64" s="290"/>
      <c r="F64" s="290" t="s">
        <v>1537</v>
      </c>
      <c r="G64" s="478"/>
      <c r="H64" s="477" t="s">
        <v>655</v>
      </c>
      <c r="I64" s="475">
        <v>187200</v>
      </c>
      <c r="J64" s="200">
        <v>22.5225225225225</v>
      </c>
      <c r="K64" s="497">
        <v>0.11</v>
      </c>
      <c r="L64" s="496">
        <v>0</v>
      </c>
      <c r="M64" s="496">
        <v>0</v>
      </c>
      <c r="N64" s="498">
        <v>0</v>
      </c>
      <c r="O64" s="499">
        <v>0</v>
      </c>
      <c r="P64" s="236"/>
      <c r="Y64" s="168"/>
    </row>
    <row r="65" ht="16.5" customHeight="1" outlineLevel="4" spans="2:25">
      <c r="B65" s="470" t="s">
        <v>1648</v>
      </c>
      <c r="C65" s="473"/>
      <c r="D65" s="474" t="s">
        <v>1649</v>
      </c>
      <c r="E65" s="290"/>
      <c r="F65" s="290" t="s">
        <v>1537</v>
      </c>
      <c r="G65" s="478"/>
      <c r="H65" s="477" t="s">
        <v>655</v>
      </c>
      <c r="I65" s="475">
        <v>187200</v>
      </c>
      <c r="J65" s="200">
        <v>27.027027027027</v>
      </c>
      <c r="K65" s="497">
        <v>0.11</v>
      </c>
      <c r="L65" s="496">
        <v>0</v>
      </c>
      <c r="M65" s="496">
        <v>0</v>
      </c>
      <c r="N65" s="498">
        <v>0</v>
      </c>
      <c r="O65" s="499">
        <v>0</v>
      </c>
      <c r="P65" s="236"/>
      <c r="Y65" s="168"/>
    </row>
    <row r="66" ht="16.5" hidden="1" customHeight="1" outlineLevel="1" collapsed="1" spans="2:25">
      <c r="B66" s="121" t="s">
        <v>537</v>
      </c>
      <c r="C66" s="193">
        <v>2</v>
      </c>
      <c r="D66" s="121" t="s">
        <v>538</v>
      </c>
      <c r="E66" s="193"/>
      <c r="F66" s="193"/>
      <c r="G66" s="193"/>
      <c r="H66" s="155"/>
      <c r="I66" s="492"/>
      <c r="J66" s="155"/>
      <c r="K66" s="493"/>
      <c r="L66" s="494">
        <v>5053.84945169785</v>
      </c>
      <c r="M66" s="494">
        <v>670.804680302148</v>
      </c>
      <c r="N66" s="494">
        <v>5724.654132</v>
      </c>
      <c r="O66" s="495">
        <v>305.804173717949</v>
      </c>
      <c r="P66" s="233"/>
      <c r="Y66" s="168"/>
    </row>
    <row r="67" ht="16.5" hidden="1" customHeight="1" outlineLevel="2" collapsed="1" spans="2:25">
      <c r="B67" s="470" t="s">
        <v>1650</v>
      </c>
      <c r="C67" s="471" t="s">
        <v>619</v>
      </c>
      <c r="D67" s="474" t="s">
        <v>1651</v>
      </c>
      <c r="E67" s="479"/>
      <c r="F67" s="479"/>
      <c r="G67" s="198"/>
      <c r="H67" s="108"/>
      <c r="I67" s="200"/>
      <c r="J67" s="200"/>
      <c r="K67" s="41"/>
      <c r="L67" s="498">
        <v>3275.5116</v>
      </c>
      <c r="M67" s="498">
        <v>424.956132</v>
      </c>
      <c r="N67" s="498">
        <v>3700.467732</v>
      </c>
      <c r="O67" s="499">
        <v>197.674558333333</v>
      </c>
      <c r="P67" s="236"/>
      <c r="Y67" s="168"/>
    </row>
    <row r="68" ht="16.5" hidden="1" customHeight="1" outlineLevel="3" spans="2:25">
      <c r="B68" s="470" t="s">
        <v>1652</v>
      </c>
      <c r="C68" s="473" t="s">
        <v>622</v>
      </c>
      <c r="D68" s="474" t="s">
        <v>1653</v>
      </c>
      <c r="E68" s="290" t="s">
        <v>774</v>
      </c>
      <c r="F68" s="290" t="s">
        <v>1537</v>
      </c>
      <c r="G68" s="200">
        <v>1</v>
      </c>
      <c r="H68" s="108" t="s">
        <v>655</v>
      </c>
      <c r="I68" s="475">
        <v>187200</v>
      </c>
      <c r="J68" s="200">
        <v>28</v>
      </c>
      <c r="K68" s="497">
        <v>0.11</v>
      </c>
      <c r="L68" s="496">
        <v>524.16</v>
      </c>
      <c r="M68" s="496">
        <v>57.6576</v>
      </c>
      <c r="N68" s="498">
        <v>581.8176</v>
      </c>
      <c r="O68" s="499">
        <v>31.08</v>
      </c>
      <c r="P68" s="236"/>
      <c r="Y68" s="168"/>
    </row>
    <row r="69" ht="16.5" hidden="1" customHeight="1" outlineLevel="3" spans="2:25">
      <c r="B69" s="470" t="s">
        <v>1654</v>
      </c>
      <c r="C69" s="473" t="s">
        <v>622</v>
      </c>
      <c r="D69" s="474" t="s">
        <v>1655</v>
      </c>
      <c r="E69" s="479" t="s">
        <v>880</v>
      </c>
      <c r="F69" s="479" t="s">
        <v>601</v>
      </c>
      <c r="G69" s="200">
        <v>1</v>
      </c>
      <c r="H69" s="108" t="s">
        <v>655</v>
      </c>
      <c r="I69" s="200">
        <v>1328</v>
      </c>
      <c r="J69" s="200">
        <v>590</v>
      </c>
      <c r="K69" s="41">
        <v>0.11</v>
      </c>
      <c r="L69" s="496">
        <v>78.352</v>
      </c>
      <c r="M69" s="496">
        <v>8.61872</v>
      </c>
      <c r="N69" s="498">
        <v>86.97072</v>
      </c>
      <c r="O69" s="499">
        <v>4.64587179487179</v>
      </c>
      <c r="P69" s="236"/>
      <c r="Y69" s="168"/>
    </row>
    <row r="70" ht="16.5" hidden="1" customHeight="1" outlineLevel="3" spans="2:25">
      <c r="B70" s="470" t="s">
        <v>1656</v>
      </c>
      <c r="C70" s="473" t="s">
        <v>622</v>
      </c>
      <c r="D70" s="474" t="s">
        <v>1657</v>
      </c>
      <c r="E70" s="479" t="s">
        <v>891</v>
      </c>
      <c r="F70" s="290" t="s">
        <v>1537</v>
      </c>
      <c r="G70" s="200">
        <v>1</v>
      </c>
      <c r="H70" s="108" t="s">
        <v>655</v>
      </c>
      <c r="I70" s="200">
        <v>187200</v>
      </c>
      <c r="J70" s="200">
        <v>3</v>
      </c>
      <c r="K70" s="41">
        <v>0.17</v>
      </c>
      <c r="L70" s="496">
        <v>56.16</v>
      </c>
      <c r="M70" s="496">
        <v>9.5472</v>
      </c>
      <c r="N70" s="498">
        <v>65.7072</v>
      </c>
      <c r="O70" s="499">
        <v>3.51</v>
      </c>
      <c r="P70" s="236"/>
      <c r="Y70" s="168"/>
    </row>
    <row r="71" ht="16.5" hidden="1" customHeight="1" outlineLevel="3" spans="2:25">
      <c r="B71" s="470" t="s">
        <v>1658</v>
      </c>
      <c r="C71" s="473" t="s">
        <v>622</v>
      </c>
      <c r="D71" s="474" t="s">
        <v>1659</v>
      </c>
      <c r="E71" s="479" t="s">
        <v>891</v>
      </c>
      <c r="F71" s="290" t="s">
        <v>1537</v>
      </c>
      <c r="G71" s="200">
        <v>1</v>
      </c>
      <c r="H71" s="108" t="s">
        <v>655</v>
      </c>
      <c r="I71" s="200">
        <v>187200</v>
      </c>
      <c r="J71" s="200">
        <v>5.56</v>
      </c>
      <c r="K71" s="41">
        <v>0.17</v>
      </c>
      <c r="L71" s="496">
        <v>104.0832</v>
      </c>
      <c r="M71" s="496">
        <v>17.694144</v>
      </c>
      <c r="N71" s="498">
        <v>121.777344</v>
      </c>
      <c r="O71" s="499">
        <v>6.5052</v>
      </c>
      <c r="P71" s="236"/>
      <c r="Y71" s="168"/>
    </row>
    <row r="72" ht="16.5" hidden="1" customHeight="1" outlineLevel="3" spans="2:25">
      <c r="B72" s="470" t="s">
        <v>1660</v>
      </c>
      <c r="C72" s="473" t="s">
        <v>622</v>
      </c>
      <c r="D72" s="474" t="s">
        <v>1661</v>
      </c>
      <c r="E72" s="479" t="s">
        <v>774</v>
      </c>
      <c r="F72" s="290" t="s">
        <v>1537</v>
      </c>
      <c r="G72" s="200">
        <v>1</v>
      </c>
      <c r="H72" s="108" t="s">
        <v>655</v>
      </c>
      <c r="I72" s="200">
        <v>187200</v>
      </c>
      <c r="J72" s="475">
        <v>4.05</v>
      </c>
      <c r="K72" s="41">
        <v>0.11</v>
      </c>
      <c r="L72" s="496">
        <v>75.816</v>
      </c>
      <c r="M72" s="496">
        <v>8.33976</v>
      </c>
      <c r="N72" s="498">
        <v>84.15576</v>
      </c>
      <c r="O72" s="499">
        <v>4.4955</v>
      </c>
      <c r="P72" s="236"/>
      <c r="Y72" s="168"/>
    </row>
    <row r="73" ht="16.5" customHeight="1" outlineLevel="3" spans="2:25">
      <c r="B73" s="470" t="s">
        <v>1662</v>
      </c>
      <c r="C73" s="473" t="s">
        <v>622</v>
      </c>
      <c r="D73" s="474" t="s">
        <v>1663</v>
      </c>
      <c r="E73" s="479"/>
      <c r="F73" s="479"/>
      <c r="G73" s="200">
        <v>1</v>
      </c>
      <c r="H73" s="108" t="s">
        <v>655</v>
      </c>
      <c r="I73" s="200"/>
      <c r="J73" s="200">
        <v>0</v>
      </c>
      <c r="K73" s="41">
        <v>0.11</v>
      </c>
      <c r="L73" s="496">
        <v>0</v>
      </c>
      <c r="M73" s="496">
        <v>0</v>
      </c>
      <c r="N73" s="498">
        <v>0</v>
      </c>
      <c r="O73" s="499">
        <v>0</v>
      </c>
      <c r="P73" s="236"/>
      <c r="Y73" s="168"/>
    </row>
    <row r="74" ht="16.5" customHeight="1" outlineLevel="3" spans="2:25">
      <c r="B74" s="470" t="s">
        <v>1664</v>
      </c>
      <c r="C74" s="473" t="s">
        <v>622</v>
      </c>
      <c r="D74" s="474" t="s">
        <v>1665</v>
      </c>
      <c r="E74" s="479" t="s">
        <v>774</v>
      </c>
      <c r="F74" s="479"/>
      <c r="G74" s="200">
        <v>1</v>
      </c>
      <c r="H74" s="108" t="s">
        <v>655</v>
      </c>
      <c r="I74" s="200"/>
      <c r="J74" s="200">
        <v>0</v>
      </c>
      <c r="K74" s="41">
        <v>0.11</v>
      </c>
      <c r="L74" s="496">
        <v>0</v>
      </c>
      <c r="M74" s="496">
        <v>0</v>
      </c>
      <c r="N74" s="498">
        <v>0</v>
      </c>
      <c r="O74" s="499">
        <v>0</v>
      </c>
      <c r="P74" s="236"/>
      <c r="Y74" s="168"/>
    </row>
    <row r="75" ht="16.5" customHeight="1" outlineLevel="3" spans="2:25">
      <c r="B75" s="470" t="s">
        <v>1666</v>
      </c>
      <c r="C75" s="473" t="s">
        <v>622</v>
      </c>
      <c r="D75" s="474" t="s">
        <v>1667</v>
      </c>
      <c r="E75" s="479" t="s">
        <v>913</v>
      </c>
      <c r="F75" s="479" t="s">
        <v>601</v>
      </c>
      <c r="G75" s="200"/>
      <c r="H75" s="108" t="s">
        <v>1668</v>
      </c>
      <c r="I75" s="200">
        <v>1328</v>
      </c>
      <c r="J75" s="200">
        <v>2522.52252252252</v>
      </c>
      <c r="K75" s="41">
        <v>0.11</v>
      </c>
      <c r="L75" s="496">
        <v>0</v>
      </c>
      <c r="M75" s="496">
        <v>0</v>
      </c>
      <c r="N75" s="498">
        <v>0</v>
      </c>
      <c r="O75" s="499">
        <v>0</v>
      </c>
      <c r="P75" s="236"/>
      <c r="Y75" s="168"/>
    </row>
    <row r="76" ht="16.5" hidden="1" customHeight="1" outlineLevel="3" spans="2:25">
      <c r="B76" s="470" t="s">
        <v>1669</v>
      </c>
      <c r="C76" s="473" t="s">
        <v>622</v>
      </c>
      <c r="D76" s="474" t="s">
        <v>1670</v>
      </c>
      <c r="E76" s="290" t="s">
        <v>774</v>
      </c>
      <c r="F76" s="290" t="s">
        <v>1537</v>
      </c>
      <c r="G76" s="200">
        <v>1</v>
      </c>
      <c r="H76" s="108" t="s">
        <v>655</v>
      </c>
      <c r="I76" s="475">
        <v>187200</v>
      </c>
      <c r="J76" s="200">
        <v>81</v>
      </c>
      <c r="K76" s="497">
        <v>0.11</v>
      </c>
      <c r="L76" s="496">
        <v>1516.32</v>
      </c>
      <c r="M76" s="496">
        <v>166.7952</v>
      </c>
      <c r="N76" s="498">
        <v>1683.1152</v>
      </c>
      <c r="O76" s="499">
        <v>89.91</v>
      </c>
      <c r="P76" s="236"/>
      <c r="Y76" s="168"/>
    </row>
    <row r="77" ht="16.5" hidden="1" customHeight="1" outlineLevel="3" spans="2:25">
      <c r="B77" s="470" t="s">
        <v>1671</v>
      </c>
      <c r="C77" s="473" t="s">
        <v>622</v>
      </c>
      <c r="D77" s="474" t="s">
        <v>1672</v>
      </c>
      <c r="E77" s="479" t="s">
        <v>891</v>
      </c>
      <c r="F77" s="290" t="s">
        <v>1537</v>
      </c>
      <c r="G77" s="502">
        <v>1</v>
      </c>
      <c r="H77" s="503" t="s">
        <v>655</v>
      </c>
      <c r="I77" s="200">
        <v>187200</v>
      </c>
      <c r="J77" s="514">
        <v>8.55</v>
      </c>
      <c r="K77" s="41">
        <v>0.17</v>
      </c>
      <c r="L77" s="496">
        <v>160.056</v>
      </c>
      <c r="M77" s="496">
        <v>27.20952</v>
      </c>
      <c r="N77" s="498">
        <v>187.26552</v>
      </c>
      <c r="O77" s="499">
        <v>10.0035</v>
      </c>
      <c r="P77" s="236"/>
      <c r="Y77" s="168"/>
    </row>
    <row r="78" ht="16.5" hidden="1" customHeight="1" outlineLevel="3" spans="2:25">
      <c r="B78" s="470" t="s">
        <v>1673</v>
      </c>
      <c r="C78" s="473" t="s">
        <v>622</v>
      </c>
      <c r="D78" s="474" t="s">
        <v>1674</v>
      </c>
      <c r="E78" s="479" t="s">
        <v>943</v>
      </c>
      <c r="F78" s="290" t="s">
        <v>1537</v>
      </c>
      <c r="G78" s="200">
        <v>1</v>
      </c>
      <c r="H78" s="503" t="s">
        <v>655</v>
      </c>
      <c r="I78" s="200">
        <v>187200</v>
      </c>
      <c r="J78" s="200">
        <v>16.24</v>
      </c>
      <c r="K78" s="41">
        <v>0.17</v>
      </c>
      <c r="L78" s="496">
        <v>304.0128</v>
      </c>
      <c r="M78" s="496">
        <v>51.682176</v>
      </c>
      <c r="N78" s="498">
        <v>355.694976</v>
      </c>
      <c r="O78" s="499">
        <v>19.0008</v>
      </c>
      <c r="P78" s="236"/>
      <c r="Y78" s="168"/>
    </row>
    <row r="79" ht="16.5" hidden="1" customHeight="1" outlineLevel="3" spans="2:25">
      <c r="B79" s="470" t="s">
        <v>1675</v>
      </c>
      <c r="C79" s="473" t="s">
        <v>622</v>
      </c>
      <c r="D79" s="474" t="s">
        <v>1676</v>
      </c>
      <c r="E79" s="479" t="s">
        <v>943</v>
      </c>
      <c r="F79" s="290" t="s">
        <v>1537</v>
      </c>
      <c r="G79" s="200">
        <v>1</v>
      </c>
      <c r="H79" s="503" t="s">
        <v>655</v>
      </c>
      <c r="I79" s="200">
        <v>187200</v>
      </c>
      <c r="J79" s="200">
        <v>14.53</v>
      </c>
      <c r="K79" s="41">
        <v>0.17</v>
      </c>
      <c r="L79" s="496">
        <v>272.0016</v>
      </c>
      <c r="M79" s="496">
        <v>46.240272</v>
      </c>
      <c r="N79" s="498">
        <v>318.241872</v>
      </c>
      <c r="O79" s="499">
        <v>17.0001</v>
      </c>
      <c r="P79" s="236"/>
      <c r="Y79" s="168"/>
    </row>
    <row r="80" ht="16.5" hidden="1" customHeight="1" outlineLevel="3" spans="2:25">
      <c r="B80" s="470" t="s">
        <v>1677</v>
      </c>
      <c r="C80" s="473" t="s">
        <v>622</v>
      </c>
      <c r="D80" s="474" t="s">
        <v>1678</v>
      </c>
      <c r="E80" s="479" t="s">
        <v>1359</v>
      </c>
      <c r="F80" s="290" t="s">
        <v>1537</v>
      </c>
      <c r="G80" s="200">
        <v>0.75</v>
      </c>
      <c r="H80" s="108" t="s">
        <v>655</v>
      </c>
      <c r="I80" s="200">
        <v>187200</v>
      </c>
      <c r="J80" s="200">
        <v>6</v>
      </c>
      <c r="K80" s="41">
        <v>0.17</v>
      </c>
      <c r="L80" s="496">
        <v>84.24</v>
      </c>
      <c r="M80" s="496">
        <v>14.3208</v>
      </c>
      <c r="N80" s="498">
        <v>98.5608</v>
      </c>
      <c r="O80" s="499">
        <v>5.265</v>
      </c>
      <c r="P80" s="236"/>
      <c r="Y80" s="168"/>
    </row>
    <row r="81" ht="16.5" hidden="1" customHeight="1" outlineLevel="3" spans="2:25">
      <c r="B81" s="470" t="s">
        <v>1679</v>
      </c>
      <c r="C81" s="473" t="s">
        <v>622</v>
      </c>
      <c r="D81" s="572" t="s">
        <v>1680</v>
      </c>
      <c r="E81" s="479" t="s">
        <v>1359</v>
      </c>
      <c r="F81" s="290" t="s">
        <v>601</v>
      </c>
      <c r="G81" s="200">
        <v>1</v>
      </c>
      <c r="H81" s="108" t="s">
        <v>1681</v>
      </c>
      <c r="I81" s="475">
        <v>1328</v>
      </c>
      <c r="J81" s="200">
        <v>130</v>
      </c>
      <c r="K81" s="497">
        <v>0.17</v>
      </c>
      <c r="L81" s="496">
        <v>17.264</v>
      </c>
      <c r="M81" s="496">
        <v>2.93488</v>
      </c>
      <c r="N81" s="498">
        <v>20.19888</v>
      </c>
      <c r="O81" s="499">
        <v>1.079</v>
      </c>
      <c r="P81" s="236"/>
      <c r="Y81" s="168"/>
    </row>
    <row r="82" ht="16.5" hidden="1" customHeight="1" outlineLevel="3" spans="2:25">
      <c r="B82" s="470" t="s">
        <v>1682</v>
      </c>
      <c r="C82" s="473" t="s">
        <v>622</v>
      </c>
      <c r="D82" s="474" t="s">
        <v>1683</v>
      </c>
      <c r="E82" s="504" t="s">
        <v>928</v>
      </c>
      <c r="F82" s="479" t="s">
        <v>601</v>
      </c>
      <c r="G82" s="200">
        <v>1</v>
      </c>
      <c r="H82" s="108" t="s">
        <v>1681</v>
      </c>
      <c r="I82" s="200">
        <v>1328</v>
      </c>
      <c r="J82" s="200">
        <v>600</v>
      </c>
      <c r="K82" s="41">
        <v>0.17</v>
      </c>
      <c r="L82" s="496">
        <v>79.68</v>
      </c>
      <c r="M82" s="496">
        <v>13.5456</v>
      </c>
      <c r="N82" s="498">
        <v>93.2256</v>
      </c>
      <c r="O82" s="499">
        <v>4.98</v>
      </c>
      <c r="P82" s="236"/>
      <c r="Y82" s="168"/>
    </row>
    <row r="83" ht="16.5" hidden="1" customHeight="1" outlineLevel="3" spans="2:25">
      <c r="B83" s="470" t="s">
        <v>1684</v>
      </c>
      <c r="C83" s="473" t="s">
        <v>622</v>
      </c>
      <c r="D83" s="474" t="s">
        <v>1685</v>
      </c>
      <c r="E83" s="479" t="s">
        <v>774</v>
      </c>
      <c r="F83" s="479" t="s">
        <v>1252</v>
      </c>
      <c r="G83" s="573">
        <v>15</v>
      </c>
      <c r="H83" s="108" t="s">
        <v>655</v>
      </c>
      <c r="I83" s="200">
        <v>33</v>
      </c>
      <c r="J83" s="200">
        <v>68</v>
      </c>
      <c r="K83" s="41">
        <v>0.11</v>
      </c>
      <c r="L83" s="496">
        <v>3.366</v>
      </c>
      <c r="M83" s="496">
        <v>0.37026</v>
      </c>
      <c r="N83" s="498">
        <v>3.73626</v>
      </c>
      <c r="O83" s="499">
        <v>0.199586538461538</v>
      </c>
      <c r="P83" s="236"/>
      <c r="Y83" s="168"/>
    </row>
    <row r="84" ht="16.5" hidden="1" customHeight="1" outlineLevel="2" collapsed="1" spans="2:25">
      <c r="B84" s="470" t="s">
        <v>1686</v>
      </c>
      <c r="C84" s="471" t="s">
        <v>657</v>
      </c>
      <c r="D84" s="474" t="s">
        <v>1687</v>
      </c>
      <c r="E84" s="479"/>
      <c r="F84" s="479"/>
      <c r="G84" s="198"/>
      <c r="H84" s="108"/>
      <c r="I84" s="200"/>
      <c r="J84" s="200"/>
      <c r="K84" s="41"/>
      <c r="L84" s="515">
        <v>1778.33785169785</v>
      </c>
      <c r="M84" s="515">
        <v>245.848548302148</v>
      </c>
      <c r="N84" s="515">
        <v>2024.1864</v>
      </c>
      <c r="O84" s="499">
        <v>108.129615384615</v>
      </c>
      <c r="P84" s="236"/>
      <c r="Y84" s="168"/>
    </row>
    <row r="85" ht="16.5" hidden="1" customHeight="1" outlineLevel="3" spans="2:25">
      <c r="B85" s="470" t="s">
        <v>1688</v>
      </c>
      <c r="C85" s="473" t="s">
        <v>622</v>
      </c>
      <c r="D85" s="474" t="s">
        <v>1689</v>
      </c>
      <c r="E85" s="479" t="s">
        <v>1360</v>
      </c>
      <c r="F85" s="479" t="s">
        <v>602</v>
      </c>
      <c r="G85" s="200">
        <v>2</v>
      </c>
      <c r="H85" s="108" t="s">
        <v>1690</v>
      </c>
      <c r="I85" s="200">
        <v>15</v>
      </c>
      <c r="J85" s="516">
        <v>247863.247863248</v>
      </c>
      <c r="K85" s="41">
        <v>0.17</v>
      </c>
      <c r="L85" s="496">
        <v>743.589743589744</v>
      </c>
      <c r="M85" s="496">
        <v>126.410256410256</v>
      </c>
      <c r="N85" s="498">
        <v>870</v>
      </c>
      <c r="O85" s="499">
        <v>46.474358974359</v>
      </c>
      <c r="P85" s="236"/>
      <c r="Y85" s="168"/>
    </row>
    <row r="86" ht="16.5" hidden="1" customHeight="1" outlineLevel="3" spans="2:25">
      <c r="B86" s="470" t="s">
        <v>1691</v>
      </c>
      <c r="C86" s="473" t="s">
        <v>622</v>
      </c>
      <c r="D86" s="474" t="s">
        <v>1692</v>
      </c>
      <c r="E86" s="479" t="s">
        <v>1361</v>
      </c>
      <c r="F86" s="479" t="s">
        <v>602</v>
      </c>
      <c r="G86" s="200">
        <v>2</v>
      </c>
      <c r="H86" s="108" t="s">
        <v>1690</v>
      </c>
      <c r="I86" s="200">
        <v>15</v>
      </c>
      <c r="J86" s="516">
        <v>36036.036036036</v>
      </c>
      <c r="K86" s="41">
        <v>0.11</v>
      </c>
      <c r="L86" s="496">
        <v>108.108108108108</v>
      </c>
      <c r="M86" s="496">
        <v>11.8918918918919</v>
      </c>
      <c r="N86" s="498">
        <v>120</v>
      </c>
      <c r="O86" s="499">
        <v>6.41025641025641</v>
      </c>
      <c r="P86" s="236"/>
      <c r="Y86" s="168"/>
    </row>
    <row r="87" ht="16.5" hidden="1" customHeight="1" outlineLevel="3" spans="2:25">
      <c r="B87" s="470" t="s">
        <v>1693</v>
      </c>
      <c r="C87" s="473" t="s">
        <v>622</v>
      </c>
      <c r="D87" s="474" t="s">
        <v>1694</v>
      </c>
      <c r="E87" s="290" t="s">
        <v>931</v>
      </c>
      <c r="F87" s="290" t="s">
        <v>1537</v>
      </c>
      <c r="G87" s="200">
        <v>1</v>
      </c>
      <c r="H87" s="108" t="s">
        <v>655</v>
      </c>
      <c r="I87" s="475">
        <v>187200</v>
      </c>
      <c r="J87" s="200">
        <v>44.5</v>
      </c>
      <c r="K87" s="497">
        <v>0.11</v>
      </c>
      <c r="L87" s="496">
        <v>833.04</v>
      </c>
      <c r="M87" s="496">
        <v>91.6344</v>
      </c>
      <c r="N87" s="498">
        <v>924.6744</v>
      </c>
      <c r="O87" s="499">
        <v>49.395</v>
      </c>
      <c r="P87" s="236"/>
      <c r="Y87" s="168"/>
    </row>
    <row r="88" ht="16.5" hidden="1" customHeight="1" outlineLevel="3" spans="2:25">
      <c r="B88" s="470" t="s">
        <v>1695</v>
      </c>
      <c r="C88" s="473" t="s">
        <v>622</v>
      </c>
      <c r="D88" s="474" t="s">
        <v>1696</v>
      </c>
      <c r="E88" s="290" t="s">
        <v>943</v>
      </c>
      <c r="F88" s="290" t="s">
        <v>1537</v>
      </c>
      <c r="G88" s="200">
        <v>1</v>
      </c>
      <c r="H88" s="108" t="s">
        <v>655</v>
      </c>
      <c r="I88" s="475">
        <v>187200</v>
      </c>
      <c r="J88" s="200">
        <v>5</v>
      </c>
      <c r="K88" s="497">
        <v>0.17</v>
      </c>
      <c r="L88" s="496">
        <v>93.6</v>
      </c>
      <c r="M88" s="496">
        <v>15.912</v>
      </c>
      <c r="N88" s="498">
        <v>109.512</v>
      </c>
      <c r="O88" s="499">
        <v>5.85</v>
      </c>
      <c r="P88" s="236"/>
      <c r="Y88" s="168"/>
    </row>
    <row r="89" ht="16.5" customHeight="1" outlineLevel="3" spans="2:25">
      <c r="B89" s="470" t="s">
        <v>1697</v>
      </c>
      <c r="C89" s="473" t="s">
        <v>622</v>
      </c>
      <c r="D89" s="474" t="s">
        <v>1698</v>
      </c>
      <c r="E89" s="479" t="s">
        <v>1406</v>
      </c>
      <c r="F89" s="479" t="s">
        <v>505</v>
      </c>
      <c r="G89" s="200"/>
      <c r="H89" s="108" t="s">
        <v>655</v>
      </c>
      <c r="I89" s="200"/>
      <c r="J89" s="200">
        <v>0</v>
      </c>
      <c r="K89" s="41">
        <v>0.11</v>
      </c>
      <c r="L89" s="496">
        <v>0</v>
      </c>
      <c r="M89" s="496">
        <v>0</v>
      </c>
      <c r="N89" s="498">
        <v>0</v>
      </c>
      <c r="O89" s="499">
        <v>0</v>
      </c>
      <c r="P89" s="236"/>
      <c r="Y89" s="168"/>
    </row>
    <row r="90" ht="16.5" customHeight="1" outlineLevel="3" spans="2:25">
      <c r="B90" s="470" t="s">
        <v>1699</v>
      </c>
      <c r="C90" s="473" t="s">
        <v>622</v>
      </c>
      <c r="D90" s="474" t="s">
        <v>1700</v>
      </c>
      <c r="E90" s="479"/>
      <c r="F90" s="479" t="s">
        <v>505</v>
      </c>
      <c r="G90" s="200"/>
      <c r="H90" s="108" t="s">
        <v>655</v>
      </c>
      <c r="I90" s="200"/>
      <c r="J90" s="200">
        <v>0</v>
      </c>
      <c r="K90" s="41">
        <v>0.11</v>
      </c>
      <c r="L90" s="496">
        <v>0</v>
      </c>
      <c r="M90" s="496">
        <v>0</v>
      </c>
      <c r="N90" s="498">
        <v>0</v>
      </c>
      <c r="O90" s="499">
        <v>0</v>
      </c>
      <c r="P90" s="236"/>
      <c r="Y90" s="168"/>
    </row>
    <row r="91" ht="16.5" customHeight="1" outlineLevel="3" spans="2:25">
      <c r="B91" s="470" t="s">
        <v>1701</v>
      </c>
      <c r="C91" s="473" t="s">
        <v>622</v>
      </c>
      <c r="D91" s="474" t="s">
        <v>1702</v>
      </c>
      <c r="E91" s="479"/>
      <c r="F91" s="479" t="s">
        <v>505</v>
      </c>
      <c r="G91" s="200"/>
      <c r="H91" s="108" t="s">
        <v>655</v>
      </c>
      <c r="I91" s="200"/>
      <c r="J91" s="200">
        <v>0</v>
      </c>
      <c r="K91" s="41">
        <v>0.11</v>
      </c>
      <c r="L91" s="496">
        <v>0</v>
      </c>
      <c r="M91" s="496">
        <v>0</v>
      </c>
      <c r="N91" s="498">
        <v>0</v>
      </c>
      <c r="O91" s="499">
        <v>0</v>
      </c>
      <c r="P91" s="236"/>
      <c r="Y91" s="168"/>
    </row>
    <row r="92" ht="16.5" hidden="1" customHeight="1" collapsed="1" spans="2:25">
      <c r="B92" s="468" t="s">
        <v>1703</v>
      </c>
      <c r="C92" s="469" t="s">
        <v>547</v>
      </c>
      <c r="D92" s="468" t="s">
        <v>482</v>
      </c>
      <c r="E92" s="192"/>
      <c r="F92" s="192"/>
      <c r="G92" s="192"/>
      <c r="H92" s="206"/>
      <c r="I92" s="488"/>
      <c r="J92" s="488"/>
      <c r="K92" s="488"/>
      <c r="L92" s="490">
        <v>17194.32</v>
      </c>
      <c r="M92" s="490">
        <v>1935.7416</v>
      </c>
      <c r="N92" s="490">
        <v>19130.0616</v>
      </c>
      <c r="O92" s="491">
        <v>1021.905</v>
      </c>
      <c r="P92" s="251"/>
      <c r="Y92" s="168"/>
    </row>
    <row r="93" ht="16.5" hidden="1" customHeight="1" outlineLevel="1" collapsed="1" spans="2:25">
      <c r="B93" s="505" t="s">
        <v>1704</v>
      </c>
      <c r="C93" s="506">
        <v>1</v>
      </c>
      <c r="D93" s="505" t="s">
        <v>1705</v>
      </c>
      <c r="E93" s="193"/>
      <c r="F93" s="193"/>
      <c r="G93" s="193"/>
      <c r="H93" s="155"/>
      <c r="I93" s="492"/>
      <c r="J93" s="492"/>
      <c r="K93" s="492"/>
      <c r="L93" s="494">
        <v>17194.32</v>
      </c>
      <c r="M93" s="494">
        <v>1935.7416</v>
      </c>
      <c r="N93" s="494">
        <v>19130.0616</v>
      </c>
      <c r="O93" s="574">
        <v>1021.905</v>
      </c>
      <c r="P93" s="233"/>
      <c r="Y93" s="168"/>
    </row>
    <row r="94" ht="16.5" hidden="1" customHeight="1" outlineLevel="2" spans="2:25">
      <c r="B94" s="470" t="s">
        <v>1706</v>
      </c>
      <c r="C94" s="471" t="s">
        <v>619</v>
      </c>
      <c r="D94" s="474" t="s">
        <v>1707</v>
      </c>
      <c r="E94" s="290" t="s">
        <v>1363</v>
      </c>
      <c r="F94" s="290" t="s">
        <v>1537</v>
      </c>
      <c r="G94" s="200">
        <v>1</v>
      </c>
      <c r="H94" s="108" t="s">
        <v>655</v>
      </c>
      <c r="I94" s="475">
        <v>187200</v>
      </c>
      <c r="J94" s="475">
        <v>670</v>
      </c>
      <c r="K94" s="497">
        <v>0.11</v>
      </c>
      <c r="L94" s="477">
        <v>12542.4</v>
      </c>
      <c r="M94" s="475">
        <v>1379.664</v>
      </c>
      <c r="N94" s="498">
        <v>13922.064</v>
      </c>
      <c r="O94" s="499">
        <v>743.7</v>
      </c>
      <c r="P94" s="309"/>
      <c r="Y94" s="168"/>
    </row>
    <row r="95" ht="16.5" hidden="1" customHeight="1" outlineLevel="2" spans="2:25">
      <c r="B95" s="470" t="s">
        <v>1708</v>
      </c>
      <c r="C95" s="471" t="s">
        <v>657</v>
      </c>
      <c r="D95" s="474" t="s">
        <v>1709</v>
      </c>
      <c r="E95" s="290" t="s">
        <v>1364</v>
      </c>
      <c r="F95" s="290" t="s">
        <v>1537</v>
      </c>
      <c r="G95" s="200">
        <v>1</v>
      </c>
      <c r="H95" s="108" t="s">
        <v>655</v>
      </c>
      <c r="I95" s="475">
        <v>187200</v>
      </c>
      <c r="J95" s="475">
        <v>54</v>
      </c>
      <c r="K95" s="497">
        <v>0.11</v>
      </c>
      <c r="L95" s="477">
        <v>1010.88</v>
      </c>
      <c r="M95" s="475">
        <v>111.1968</v>
      </c>
      <c r="N95" s="498">
        <v>1122.0768</v>
      </c>
      <c r="O95" s="499">
        <v>59.94</v>
      </c>
      <c r="P95" s="309"/>
      <c r="Y95" s="168"/>
    </row>
    <row r="96" ht="16.5" hidden="1" customHeight="1" outlineLevel="2" spans="2:25">
      <c r="B96" s="470" t="s">
        <v>1710</v>
      </c>
      <c r="C96" s="471" t="s">
        <v>762</v>
      </c>
      <c r="D96" s="474" t="s">
        <v>1711</v>
      </c>
      <c r="E96" s="290" t="s">
        <v>1365</v>
      </c>
      <c r="F96" s="290" t="s">
        <v>1537</v>
      </c>
      <c r="G96" s="200">
        <v>1</v>
      </c>
      <c r="H96" s="108" t="s">
        <v>655</v>
      </c>
      <c r="I96" s="475">
        <v>187200</v>
      </c>
      <c r="J96" s="475">
        <v>90</v>
      </c>
      <c r="K96" s="497">
        <v>0.11</v>
      </c>
      <c r="L96" s="477">
        <v>1684.8</v>
      </c>
      <c r="M96" s="475">
        <v>185.328</v>
      </c>
      <c r="N96" s="498">
        <v>1870.128</v>
      </c>
      <c r="O96" s="499">
        <v>99.9</v>
      </c>
      <c r="P96" s="309"/>
      <c r="Y96" s="168"/>
    </row>
    <row r="97" ht="16.5" hidden="1" customHeight="1" outlineLevel="2" spans="2:25">
      <c r="B97" s="470" t="s">
        <v>1712</v>
      </c>
      <c r="C97" s="471" t="s">
        <v>778</v>
      </c>
      <c r="D97" s="474" t="s">
        <v>1713</v>
      </c>
      <c r="E97" s="290" t="s">
        <v>1367</v>
      </c>
      <c r="F97" s="290" t="s">
        <v>1537</v>
      </c>
      <c r="G97" s="200">
        <v>1</v>
      </c>
      <c r="H97" s="108" t="s">
        <v>655</v>
      </c>
      <c r="I97" s="475">
        <v>187200</v>
      </c>
      <c r="J97" s="475">
        <v>15</v>
      </c>
      <c r="K97" s="497">
        <v>0.11</v>
      </c>
      <c r="L97" s="477">
        <v>280.8</v>
      </c>
      <c r="M97" s="475">
        <v>30.888</v>
      </c>
      <c r="N97" s="498">
        <v>311.688</v>
      </c>
      <c r="O97" s="499">
        <v>16.65</v>
      </c>
      <c r="P97" s="309"/>
      <c r="Y97" s="168"/>
    </row>
    <row r="98" ht="16.5" hidden="1" customHeight="1" outlineLevel="2" spans="2:25">
      <c r="B98" s="470" t="s">
        <v>1714</v>
      </c>
      <c r="C98" s="471" t="s">
        <v>781</v>
      </c>
      <c r="D98" s="474" t="s">
        <v>1715</v>
      </c>
      <c r="E98" s="290" t="s">
        <v>1368</v>
      </c>
      <c r="F98" s="290" t="s">
        <v>1537</v>
      </c>
      <c r="G98" s="200">
        <v>1</v>
      </c>
      <c r="H98" s="108" t="s">
        <v>655</v>
      </c>
      <c r="I98" s="475">
        <v>187200</v>
      </c>
      <c r="J98" s="475">
        <v>45</v>
      </c>
      <c r="K98" s="497">
        <v>0.11</v>
      </c>
      <c r="L98" s="477">
        <v>842.4</v>
      </c>
      <c r="M98" s="475">
        <v>92.664</v>
      </c>
      <c r="N98" s="498">
        <v>935.064</v>
      </c>
      <c r="O98" s="499">
        <v>49.95</v>
      </c>
      <c r="P98" s="309"/>
      <c r="Y98" s="168"/>
    </row>
    <row r="99" ht="16.5" customHeight="1" outlineLevel="2" spans="2:25">
      <c r="B99" s="470" t="s">
        <v>1716</v>
      </c>
      <c r="C99" s="471" t="s">
        <v>788</v>
      </c>
      <c r="D99" s="474" t="s">
        <v>1717</v>
      </c>
      <c r="E99" s="290" t="s">
        <v>1406</v>
      </c>
      <c r="F99" s="290" t="s">
        <v>1537</v>
      </c>
      <c r="G99" s="200">
        <v>1</v>
      </c>
      <c r="H99" s="108" t="s">
        <v>655</v>
      </c>
      <c r="I99" s="475">
        <v>187200</v>
      </c>
      <c r="J99" s="475"/>
      <c r="K99" s="497">
        <v>0.11</v>
      </c>
      <c r="L99" s="477">
        <v>0</v>
      </c>
      <c r="M99" s="475">
        <v>0</v>
      </c>
      <c r="N99" s="498">
        <v>0</v>
      </c>
      <c r="O99" s="499">
        <v>0</v>
      </c>
      <c r="P99" s="309"/>
      <c r="Y99" s="168"/>
    </row>
    <row r="100" ht="16.5" hidden="1" customHeight="1" outlineLevel="2" spans="2:25">
      <c r="B100" s="470" t="s">
        <v>1718</v>
      </c>
      <c r="C100" s="471" t="s">
        <v>791</v>
      </c>
      <c r="D100" s="474" t="s">
        <v>1719</v>
      </c>
      <c r="E100" s="290" t="s">
        <v>1369</v>
      </c>
      <c r="F100" s="290" t="s">
        <v>1537</v>
      </c>
      <c r="G100" s="200">
        <v>1</v>
      </c>
      <c r="H100" s="108" t="s">
        <v>655</v>
      </c>
      <c r="I100" s="475">
        <v>187200</v>
      </c>
      <c r="J100" s="475">
        <v>5</v>
      </c>
      <c r="K100" s="497">
        <v>0.11</v>
      </c>
      <c r="L100" s="477">
        <v>93.6</v>
      </c>
      <c r="M100" s="475">
        <v>10.296</v>
      </c>
      <c r="N100" s="498">
        <v>103.896</v>
      </c>
      <c r="O100" s="499">
        <v>5.55</v>
      </c>
      <c r="P100" s="309"/>
      <c r="Y100" s="168"/>
    </row>
    <row r="101" ht="16.5" hidden="1" customHeight="1" outlineLevel="2" spans="2:25">
      <c r="B101" s="470" t="s">
        <v>1720</v>
      </c>
      <c r="C101" s="471" t="s">
        <v>797</v>
      </c>
      <c r="D101" s="474" t="s">
        <v>1721</v>
      </c>
      <c r="E101" s="290" t="s">
        <v>1371</v>
      </c>
      <c r="F101" s="290" t="s">
        <v>1537</v>
      </c>
      <c r="G101" s="200">
        <v>1</v>
      </c>
      <c r="H101" s="108" t="s">
        <v>655</v>
      </c>
      <c r="I101" s="475">
        <v>187200</v>
      </c>
      <c r="J101" s="475">
        <v>18</v>
      </c>
      <c r="K101" s="497">
        <v>0.17</v>
      </c>
      <c r="L101" s="477">
        <v>336.96</v>
      </c>
      <c r="M101" s="475">
        <v>57.2832</v>
      </c>
      <c r="N101" s="498">
        <v>394.2432</v>
      </c>
      <c r="O101" s="499">
        <v>21.06</v>
      </c>
      <c r="P101" s="309"/>
      <c r="Y101" s="168"/>
    </row>
    <row r="102" ht="16.5" customHeight="1" outlineLevel="2" spans="2:25">
      <c r="B102" s="470" t="s">
        <v>1722</v>
      </c>
      <c r="C102" s="471" t="s">
        <v>1519</v>
      </c>
      <c r="D102" s="474" t="s">
        <v>1723</v>
      </c>
      <c r="E102" s="290" t="s">
        <v>1372</v>
      </c>
      <c r="F102" s="290" t="s">
        <v>1537</v>
      </c>
      <c r="G102" s="200">
        <v>1</v>
      </c>
      <c r="H102" s="108" t="s">
        <v>655</v>
      </c>
      <c r="I102" s="475">
        <v>187200</v>
      </c>
      <c r="J102" s="475"/>
      <c r="K102" s="497">
        <v>0.17</v>
      </c>
      <c r="L102" s="477">
        <v>0</v>
      </c>
      <c r="M102" s="475">
        <v>0</v>
      </c>
      <c r="N102" s="498">
        <v>0</v>
      </c>
      <c r="O102" s="499">
        <v>0</v>
      </c>
      <c r="P102" s="309"/>
      <c r="Y102" s="168"/>
    </row>
    <row r="103" ht="16.5" hidden="1" customHeight="1" outlineLevel="2" spans="2:25">
      <c r="B103" s="470" t="s">
        <v>1724</v>
      </c>
      <c r="C103" s="471" t="s">
        <v>1520</v>
      </c>
      <c r="D103" s="474" t="s">
        <v>1725</v>
      </c>
      <c r="E103" s="290" t="s">
        <v>1373</v>
      </c>
      <c r="F103" s="290" t="s">
        <v>1537</v>
      </c>
      <c r="G103" s="200">
        <v>1</v>
      </c>
      <c r="H103" s="108" t="s">
        <v>655</v>
      </c>
      <c r="I103" s="475">
        <v>187200</v>
      </c>
      <c r="J103" s="475">
        <v>3</v>
      </c>
      <c r="K103" s="497">
        <v>0.17</v>
      </c>
      <c r="L103" s="477">
        <v>56.16</v>
      </c>
      <c r="M103" s="475">
        <v>9.5472</v>
      </c>
      <c r="N103" s="498">
        <v>65.7072</v>
      </c>
      <c r="O103" s="499">
        <v>3.51</v>
      </c>
      <c r="P103" s="309"/>
      <c r="Y103" s="168"/>
    </row>
    <row r="104" ht="16.5" customHeight="1" outlineLevel="2" spans="2:25">
      <c r="B104" s="470" t="s">
        <v>1726</v>
      </c>
      <c r="C104" s="471" t="s">
        <v>1727</v>
      </c>
      <c r="D104" s="474" t="s">
        <v>1728</v>
      </c>
      <c r="E104" s="290" t="s">
        <v>1374</v>
      </c>
      <c r="F104" s="290" t="s">
        <v>1537</v>
      </c>
      <c r="G104" s="200">
        <v>1</v>
      </c>
      <c r="H104" s="108" t="s">
        <v>655</v>
      </c>
      <c r="I104" s="475">
        <v>187200</v>
      </c>
      <c r="J104" s="475"/>
      <c r="K104" s="497">
        <v>0.17</v>
      </c>
      <c r="L104" s="477">
        <v>0</v>
      </c>
      <c r="M104" s="475">
        <v>0</v>
      </c>
      <c r="N104" s="498">
        <v>0</v>
      </c>
      <c r="O104" s="499">
        <v>0</v>
      </c>
      <c r="P104" s="309"/>
      <c r="Y104" s="168"/>
    </row>
    <row r="105" ht="16.5" hidden="1" customHeight="1" outlineLevel="2" spans="2:25">
      <c r="B105" s="470" t="s">
        <v>1729</v>
      </c>
      <c r="C105" s="471" t="s">
        <v>1730</v>
      </c>
      <c r="D105" s="474" t="s">
        <v>1731</v>
      </c>
      <c r="E105" s="290" t="s">
        <v>1375</v>
      </c>
      <c r="F105" s="290" t="s">
        <v>1537</v>
      </c>
      <c r="G105" s="200">
        <v>1</v>
      </c>
      <c r="H105" s="108" t="s">
        <v>655</v>
      </c>
      <c r="I105" s="475">
        <v>187200</v>
      </c>
      <c r="J105" s="475">
        <v>4</v>
      </c>
      <c r="K105" s="497">
        <v>0.17</v>
      </c>
      <c r="L105" s="477">
        <v>74.88</v>
      </c>
      <c r="M105" s="475">
        <v>12.7296</v>
      </c>
      <c r="N105" s="498">
        <v>87.6096</v>
      </c>
      <c r="O105" s="499">
        <v>4.68</v>
      </c>
      <c r="P105" s="309"/>
      <c r="Y105" s="168"/>
    </row>
    <row r="106" s="456" customFormat="1" ht="16.5" hidden="1" customHeight="1" outlineLevel="2" spans="2:16">
      <c r="B106" s="470" t="s">
        <v>1732</v>
      </c>
      <c r="C106" s="471" t="s">
        <v>1733</v>
      </c>
      <c r="D106" s="474" t="s">
        <v>1734</v>
      </c>
      <c r="E106" s="290" t="s">
        <v>1376</v>
      </c>
      <c r="F106" s="290" t="s">
        <v>1537</v>
      </c>
      <c r="G106" s="200">
        <v>1</v>
      </c>
      <c r="H106" s="108" t="s">
        <v>655</v>
      </c>
      <c r="I106" s="475">
        <v>187200</v>
      </c>
      <c r="J106" s="475">
        <v>12</v>
      </c>
      <c r="K106" s="497">
        <v>0.17</v>
      </c>
      <c r="L106" s="477">
        <v>224.64</v>
      </c>
      <c r="M106" s="475">
        <v>38.1888</v>
      </c>
      <c r="N106" s="498">
        <v>262.8288</v>
      </c>
      <c r="O106" s="499">
        <v>14.04</v>
      </c>
      <c r="P106" s="309"/>
    </row>
    <row r="107" ht="16.5" hidden="1" customHeight="1" outlineLevel="2" spans="2:25">
      <c r="B107" s="470" t="s">
        <v>1735</v>
      </c>
      <c r="C107" s="471" t="s">
        <v>1736</v>
      </c>
      <c r="D107" s="474" t="s">
        <v>1737</v>
      </c>
      <c r="E107" s="290" t="s">
        <v>1376</v>
      </c>
      <c r="F107" s="290" t="s">
        <v>1537</v>
      </c>
      <c r="G107" s="200">
        <v>1</v>
      </c>
      <c r="H107" s="108" t="s">
        <v>655</v>
      </c>
      <c r="I107" s="475">
        <v>187200</v>
      </c>
      <c r="J107" s="475">
        <v>2.5</v>
      </c>
      <c r="K107" s="497">
        <v>0.17</v>
      </c>
      <c r="L107" s="477">
        <v>46.8</v>
      </c>
      <c r="M107" s="475">
        <v>7.956</v>
      </c>
      <c r="N107" s="498">
        <v>54.756</v>
      </c>
      <c r="O107" s="499">
        <v>2.925</v>
      </c>
      <c r="P107" s="309"/>
      <c r="Y107" s="168"/>
    </row>
    <row r="108" ht="16.5" hidden="1" customHeight="1" outlineLevel="2" spans="2:25">
      <c r="B108" s="470"/>
      <c r="C108" s="471"/>
      <c r="D108" s="474"/>
      <c r="E108" s="470"/>
      <c r="F108" s="290"/>
      <c r="G108" s="200"/>
      <c r="H108" s="108"/>
      <c r="I108" s="475"/>
      <c r="J108" s="475">
        <v>0</v>
      </c>
      <c r="K108" s="497"/>
      <c r="L108" s="477"/>
      <c r="M108" s="475"/>
      <c r="N108" s="498"/>
      <c r="O108" s="499"/>
      <c r="P108" s="309"/>
      <c r="Y108" s="168"/>
    </row>
    <row r="109" ht="21" hidden="1" customHeight="1" outlineLevel="2" spans="2:25">
      <c r="B109" s="470"/>
      <c r="C109" s="471"/>
      <c r="D109" s="474"/>
      <c r="E109" s="470"/>
      <c r="F109" s="290"/>
      <c r="G109" s="200"/>
      <c r="H109" s="108"/>
      <c r="I109" s="475"/>
      <c r="J109" s="475">
        <v>0</v>
      </c>
      <c r="K109" s="497"/>
      <c r="L109" s="477"/>
      <c r="M109" s="475"/>
      <c r="N109" s="498"/>
      <c r="O109" s="499"/>
      <c r="P109" s="309"/>
      <c r="Y109" s="168"/>
    </row>
    <row r="110" ht="18.75" customHeight="1" outlineLevel="1" spans="2:25">
      <c r="B110" s="505" t="s">
        <v>1738</v>
      </c>
      <c r="C110" s="506">
        <v>2</v>
      </c>
      <c r="D110" s="505" t="s">
        <v>1739</v>
      </c>
      <c r="E110" s="193"/>
      <c r="F110" s="193"/>
      <c r="G110" s="193"/>
      <c r="H110" s="155"/>
      <c r="I110" s="492"/>
      <c r="J110" s="492"/>
      <c r="K110" s="492"/>
      <c r="L110" s="494">
        <v>0</v>
      </c>
      <c r="M110" s="494">
        <v>0</v>
      </c>
      <c r="N110" s="494">
        <v>0</v>
      </c>
      <c r="O110" s="495">
        <v>0</v>
      </c>
      <c r="P110" s="233"/>
      <c r="Y110" s="168"/>
    </row>
    <row r="111" ht="16.5" customHeight="1" outlineLevel="2" spans="2:25">
      <c r="B111" s="470" t="s">
        <v>1740</v>
      </c>
      <c r="C111" s="471" t="s">
        <v>619</v>
      </c>
      <c r="D111" s="508" t="s">
        <v>1741</v>
      </c>
      <c r="E111" s="290" t="s">
        <v>1377</v>
      </c>
      <c r="F111" s="290" t="s">
        <v>1537</v>
      </c>
      <c r="G111" s="200">
        <v>1</v>
      </c>
      <c r="H111" s="108" t="s">
        <v>655</v>
      </c>
      <c r="I111" s="475">
        <v>187200</v>
      </c>
      <c r="J111" s="475"/>
      <c r="K111" s="517">
        <v>0.17</v>
      </c>
      <c r="L111" s="477">
        <v>0</v>
      </c>
      <c r="M111" s="475">
        <v>0</v>
      </c>
      <c r="N111" s="498">
        <v>0</v>
      </c>
      <c r="O111" s="499">
        <v>0</v>
      </c>
      <c r="P111" s="309"/>
      <c r="Y111" s="168"/>
    </row>
    <row r="112" ht="16.5" customHeight="1" outlineLevel="2" spans="2:25">
      <c r="B112" s="470" t="s">
        <v>1742</v>
      </c>
      <c r="C112" s="471" t="s">
        <v>657</v>
      </c>
      <c r="D112" s="508" t="s">
        <v>1743</v>
      </c>
      <c r="E112" s="290" t="s">
        <v>1377</v>
      </c>
      <c r="F112" s="290" t="s">
        <v>1537</v>
      </c>
      <c r="G112" s="200">
        <v>1</v>
      </c>
      <c r="H112" s="108" t="s">
        <v>655</v>
      </c>
      <c r="I112" s="475">
        <v>187200</v>
      </c>
      <c r="J112" s="475"/>
      <c r="K112" s="517">
        <v>0.17</v>
      </c>
      <c r="L112" s="477">
        <v>0</v>
      </c>
      <c r="M112" s="475">
        <v>0</v>
      </c>
      <c r="N112" s="498">
        <v>0</v>
      </c>
      <c r="O112" s="499">
        <v>0</v>
      </c>
      <c r="P112" s="309"/>
      <c r="Y112" s="168"/>
    </row>
    <row r="113" ht="16.5" customHeight="1" outlineLevel="2" spans="2:25">
      <c r="B113" s="470" t="s">
        <v>1744</v>
      </c>
      <c r="C113" s="471" t="s">
        <v>762</v>
      </c>
      <c r="D113" s="508" t="s">
        <v>1745</v>
      </c>
      <c r="E113" s="290" t="s">
        <v>1377</v>
      </c>
      <c r="F113" s="290" t="s">
        <v>1537</v>
      </c>
      <c r="G113" s="200">
        <v>1</v>
      </c>
      <c r="H113" s="108" t="s">
        <v>655</v>
      </c>
      <c r="I113" s="475">
        <v>187200</v>
      </c>
      <c r="J113" s="475"/>
      <c r="K113" s="517">
        <v>0.17</v>
      </c>
      <c r="L113" s="477">
        <v>0</v>
      </c>
      <c r="M113" s="475">
        <v>0</v>
      </c>
      <c r="N113" s="498">
        <v>0</v>
      </c>
      <c r="O113" s="499">
        <v>0</v>
      </c>
      <c r="P113" s="309"/>
      <c r="Y113" s="168"/>
    </row>
    <row r="114" ht="16.5" customHeight="1" outlineLevel="1" collapsed="1" spans="2:25">
      <c r="B114" s="505" t="s">
        <v>1746</v>
      </c>
      <c r="C114" s="506">
        <v>3</v>
      </c>
      <c r="D114" s="505" t="s">
        <v>1747</v>
      </c>
      <c r="E114" s="193"/>
      <c r="F114" s="193"/>
      <c r="G114" s="193"/>
      <c r="H114" s="155"/>
      <c r="I114" s="492"/>
      <c r="J114" s="492"/>
      <c r="K114" s="492"/>
      <c r="L114" s="494">
        <v>0</v>
      </c>
      <c r="M114" s="494">
        <v>0</v>
      </c>
      <c r="N114" s="494">
        <v>0</v>
      </c>
      <c r="O114" s="495">
        <v>0</v>
      </c>
      <c r="P114" s="233"/>
      <c r="Y114" s="168"/>
    </row>
    <row r="115" s="456" customFormat="1" ht="16.5" hidden="1" customHeight="1" outlineLevel="2" spans="2:16">
      <c r="B115" s="508" t="s">
        <v>1748</v>
      </c>
      <c r="C115" s="471" t="s">
        <v>619</v>
      </c>
      <c r="D115" s="474" t="s">
        <v>1747</v>
      </c>
      <c r="E115" s="470"/>
      <c r="F115" s="290"/>
      <c r="G115" s="200"/>
      <c r="H115" s="108"/>
      <c r="I115" s="475"/>
      <c r="J115" s="475">
        <v>0</v>
      </c>
      <c r="K115" s="517"/>
      <c r="L115" s="477"/>
      <c r="M115" s="475"/>
      <c r="N115" s="498"/>
      <c r="O115" s="499"/>
      <c r="P115" s="309"/>
    </row>
    <row r="116" s="456" customFormat="1" ht="16.5" customHeight="1" outlineLevel="2" spans="2:16">
      <c r="B116" s="508" t="s">
        <v>1749</v>
      </c>
      <c r="C116" s="471" t="s">
        <v>657</v>
      </c>
      <c r="D116" s="474" t="s">
        <v>1125</v>
      </c>
      <c r="E116" s="471" t="s">
        <v>1125</v>
      </c>
      <c r="F116" s="366"/>
      <c r="G116" s="366"/>
      <c r="H116" s="313"/>
      <c r="I116" s="518"/>
      <c r="J116" s="518">
        <v>0</v>
      </c>
      <c r="K116" s="519"/>
      <c r="L116" s="477">
        <v>0</v>
      </c>
      <c r="M116" s="475">
        <v>0</v>
      </c>
      <c r="N116" s="498">
        <v>0</v>
      </c>
      <c r="O116" s="499">
        <v>0</v>
      </c>
      <c r="P116" s="309"/>
    </row>
    <row r="117" ht="16.5" customHeight="1" outlineLevel="1" spans="2:25">
      <c r="B117" s="505" t="s">
        <v>1750</v>
      </c>
      <c r="C117" s="506">
        <v>4</v>
      </c>
      <c r="D117" s="505" t="s">
        <v>1751</v>
      </c>
      <c r="E117" s="193"/>
      <c r="F117" s="193"/>
      <c r="G117" s="193"/>
      <c r="H117" s="155"/>
      <c r="I117" s="492"/>
      <c r="J117" s="492"/>
      <c r="K117" s="493">
        <v>0.11</v>
      </c>
      <c r="L117" s="155">
        <v>0</v>
      </c>
      <c r="M117" s="155">
        <v>0</v>
      </c>
      <c r="N117" s="494">
        <v>0</v>
      </c>
      <c r="O117" s="495">
        <v>0</v>
      </c>
      <c r="P117" s="233"/>
      <c r="Y117" s="168"/>
    </row>
    <row r="118" ht="16.5" hidden="1" customHeight="1" collapsed="1" spans="2:25">
      <c r="B118" s="468" t="s">
        <v>1752</v>
      </c>
      <c r="C118" s="469" t="s">
        <v>548</v>
      </c>
      <c r="D118" s="468" t="s">
        <v>483</v>
      </c>
      <c r="E118" s="192"/>
      <c r="F118" s="192"/>
      <c r="G118" s="192"/>
      <c r="H118" s="192"/>
      <c r="I118" s="488"/>
      <c r="J118" s="488"/>
      <c r="K118" s="520"/>
      <c r="L118" s="206">
        <v>9437.49457297297</v>
      </c>
      <c r="M118" s="206">
        <v>1103.54402302703</v>
      </c>
      <c r="N118" s="206">
        <v>10541.038596</v>
      </c>
      <c r="O118" s="491">
        <v>563.089668589744</v>
      </c>
      <c r="P118" s="230"/>
      <c r="Y118" s="168"/>
    </row>
    <row r="119" ht="16.5" hidden="1" customHeight="1" outlineLevel="1" collapsed="1" spans="2:25">
      <c r="B119" s="505" t="s">
        <v>549</v>
      </c>
      <c r="C119" s="506">
        <v>1</v>
      </c>
      <c r="D119" s="505" t="s">
        <v>550</v>
      </c>
      <c r="E119" s="193"/>
      <c r="F119" s="193"/>
      <c r="G119" s="193"/>
      <c r="H119" s="155"/>
      <c r="I119" s="492"/>
      <c r="J119" s="492"/>
      <c r="K119" s="521"/>
      <c r="L119" s="155">
        <v>6763.43710810811</v>
      </c>
      <c r="M119" s="155">
        <v>795.338081891892</v>
      </c>
      <c r="N119" s="155">
        <v>7558.77519</v>
      </c>
      <c r="O119" s="495">
        <v>403.780725961539</v>
      </c>
      <c r="P119" s="233"/>
      <c r="Y119" s="168"/>
    </row>
    <row r="120" ht="16.5" hidden="1" customHeight="1" outlineLevel="2" collapsed="1" spans="2:25">
      <c r="B120" s="470" t="s">
        <v>1753</v>
      </c>
      <c r="C120" s="471" t="s">
        <v>619</v>
      </c>
      <c r="D120" s="508" t="s">
        <v>1754</v>
      </c>
      <c r="E120" s="290"/>
      <c r="F120" s="290"/>
      <c r="G120" s="292"/>
      <c r="H120" s="292"/>
      <c r="I120" s="475"/>
      <c r="J120" s="475">
        <v>0</v>
      </c>
      <c r="K120" s="517"/>
      <c r="L120" s="301">
        <v>2382.77189189189</v>
      </c>
      <c r="M120" s="301">
        <v>313.464908108108</v>
      </c>
      <c r="N120" s="301">
        <v>2696.2368</v>
      </c>
      <c r="O120" s="499">
        <v>144.029743589744</v>
      </c>
      <c r="P120" s="309"/>
      <c r="Y120" s="168"/>
    </row>
    <row r="121" ht="16.5" hidden="1" customHeight="1" outlineLevel="3" spans="2:25">
      <c r="B121" s="470" t="s">
        <v>1755</v>
      </c>
      <c r="C121" s="473" t="s">
        <v>622</v>
      </c>
      <c r="D121" s="508" t="s">
        <v>1756</v>
      </c>
      <c r="E121" s="290" t="s">
        <v>1380</v>
      </c>
      <c r="F121" s="290"/>
      <c r="G121" s="200"/>
      <c r="H121" s="503"/>
      <c r="I121" s="478"/>
      <c r="J121" s="478">
        <v>0</v>
      </c>
      <c r="K121" s="522"/>
      <c r="L121" s="477">
        <v>856</v>
      </c>
      <c r="M121" s="477">
        <v>145.52</v>
      </c>
      <c r="N121" s="477">
        <v>1001.52</v>
      </c>
      <c r="O121" s="499">
        <v>53.5</v>
      </c>
      <c r="P121" s="523"/>
      <c r="Y121" s="168"/>
    </row>
    <row r="122" ht="16.5" hidden="1" customHeight="1" outlineLevel="3" spans="2:25">
      <c r="B122" s="470" t="s">
        <v>1757</v>
      </c>
      <c r="C122" s="473"/>
      <c r="D122" s="508" t="s">
        <v>1758</v>
      </c>
      <c r="E122" s="290"/>
      <c r="F122" s="290" t="s">
        <v>1537</v>
      </c>
      <c r="G122" s="510">
        <v>1.15</v>
      </c>
      <c r="H122" s="503" t="s">
        <v>1015</v>
      </c>
      <c r="I122" s="475">
        <v>187200</v>
      </c>
      <c r="J122" s="560">
        <v>34.1880341880342</v>
      </c>
      <c r="K122" s="517">
        <v>0.17</v>
      </c>
      <c r="L122" s="477">
        <v>736</v>
      </c>
      <c r="M122" s="477">
        <v>125.12</v>
      </c>
      <c r="N122" s="498">
        <v>861.12</v>
      </c>
      <c r="O122" s="499"/>
      <c r="P122" s="523"/>
      <c r="Y122" s="168"/>
    </row>
    <row r="123" ht="16.5" hidden="1" customHeight="1" outlineLevel="3" spans="2:25">
      <c r="B123" s="470" t="s">
        <v>1759</v>
      </c>
      <c r="C123" s="473"/>
      <c r="D123" s="508" t="s">
        <v>1760</v>
      </c>
      <c r="E123" s="290"/>
      <c r="F123" s="290" t="s">
        <v>1537</v>
      </c>
      <c r="G123" s="510">
        <v>0.15</v>
      </c>
      <c r="H123" s="503" t="s">
        <v>1015</v>
      </c>
      <c r="I123" s="475">
        <v>187200</v>
      </c>
      <c r="J123" s="560">
        <v>42.7350427350427</v>
      </c>
      <c r="K123" s="517">
        <v>0.17</v>
      </c>
      <c r="L123" s="477">
        <v>120</v>
      </c>
      <c r="M123" s="477">
        <v>20.4</v>
      </c>
      <c r="N123" s="498">
        <v>140.4</v>
      </c>
      <c r="O123" s="499"/>
      <c r="P123" s="523"/>
      <c r="Y123" s="168"/>
    </row>
    <row r="124" ht="16.5" hidden="1" customHeight="1" outlineLevel="3" spans="2:25">
      <c r="B124" s="470" t="s">
        <v>1761</v>
      </c>
      <c r="C124" s="473" t="s">
        <v>622</v>
      </c>
      <c r="D124" s="508" t="s">
        <v>1762</v>
      </c>
      <c r="E124" s="290" t="s">
        <v>1381</v>
      </c>
      <c r="F124" s="290"/>
      <c r="G124" s="200"/>
      <c r="H124" s="108"/>
      <c r="I124" s="478"/>
      <c r="J124" s="475">
        <v>0</v>
      </c>
      <c r="K124" s="522"/>
      <c r="L124" s="477">
        <v>580.864864864865</v>
      </c>
      <c r="M124" s="477">
        <v>63.8951351351351</v>
      </c>
      <c r="N124" s="477">
        <v>644.76</v>
      </c>
      <c r="O124" s="499">
        <v>34.4423076923077</v>
      </c>
      <c r="P124" s="523"/>
      <c r="Y124" s="168"/>
    </row>
    <row r="125" ht="16.5" hidden="1" customHeight="1" outlineLevel="3" spans="2:25">
      <c r="B125" s="470" t="s">
        <v>1763</v>
      </c>
      <c r="C125" s="473"/>
      <c r="D125" s="508" t="s">
        <v>1764</v>
      </c>
      <c r="E125" s="290"/>
      <c r="F125" s="290" t="s">
        <v>1537</v>
      </c>
      <c r="G125" s="510">
        <v>1.15</v>
      </c>
      <c r="H125" s="503" t="s">
        <v>1015</v>
      </c>
      <c r="I125" s="475">
        <v>187200</v>
      </c>
      <c r="J125" s="560">
        <v>22.5225225225225</v>
      </c>
      <c r="K125" s="517">
        <v>0.11</v>
      </c>
      <c r="L125" s="477">
        <v>484.864864864865</v>
      </c>
      <c r="M125" s="477">
        <v>53.3351351351351</v>
      </c>
      <c r="N125" s="498">
        <v>538.2</v>
      </c>
      <c r="O125" s="499"/>
      <c r="P125" s="523"/>
      <c r="Y125" s="168"/>
    </row>
    <row r="126" ht="16.5" hidden="1" customHeight="1" outlineLevel="3" spans="2:25">
      <c r="B126" s="470" t="s">
        <v>1765</v>
      </c>
      <c r="C126" s="473"/>
      <c r="D126" s="508" t="s">
        <v>1766</v>
      </c>
      <c r="E126" s="290"/>
      <c r="F126" s="290" t="s">
        <v>1537</v>
      </c>
      <c r="G126" s="510">
        <v>0.15</v>
      </c>
      <c r="H126" s="503" t="s">
        <v>1015</v>
      </c>
      <c r="I126" s="475">
        <v>187200</v>
      </c>
      <c r="J126" s="560">
        <v>34.1880341880342</v>
      </c>
      <c r="K126" s="517">
        <v>0.11</v>
      </c>
      <c r="L126" s="477">
        <v>96</v>
      </c>
      <c r="M126" s="477">
        <v>10.56</v>
      </c>
      <c r="N126" s="498">
        <v>106.56</v>
      </c>
      <c r="O126" s="499"/>
      <c r="P126" s="523"/>
      <c r="Y126" s="168"/>
    </row>
    <row r="127" ht="16.5" customHeight="1" outlineLevel="3" spans="2:25">
      <c r="B127" s="470" t="s">
        <v>1767</v>
      </c>
      <c r="C127" s="473" t="s">
        <v>622</v>
      </c>
      <c r="D127" s="508" t="s">
        <v>1768</v>
      </c>
      <c r="E127" s="479" t="s">
        <v>1382</v>
      </c>
      <c r="F127" s="479"/>
      <c r="G127" s="511"/>
      <c r="H127" s="477"/>
      <c r="I127" s="478"/>
      <c r="J127" s="478">
        <v>0</v>
      </c>
      <c r="K127" s="522">
        <v>0.11</v>
      </c>
      <c r="L127" s="477">
        <v>0</v>
      </c>
      <c r="M127" s="477">
        <v>0</v>
      </c>
      <c r="N127" s="498">
        <v>0</v>
      </c>
      <c r="O127" s="499">
        <v>0</v>
      </c>
      <c r="P127" s="523"/>
      <c r="Y127" s="168"/>
    </row>
    <row r="128" ht="16.5" customHeight="1" outlineLevel="3" spans="2:25">
      <c r="B128" s="470" t="s">
        <v>1769</v>
      </c>
      <c r="C128" s="473" t="s">
        <v>622</v>
      </c>
      <c r="D128" s="508" t="s">
        <v>1770</v>
      </c>
      <c r="E128" s="479" t="s">
        <v>1383</v>
      </c>
      <c r="F128" s="479"/>
      <c r="G128" s="511"/>
      <c r="H128" s="477"/>
      <c r="I128" s="478"/>
      <c r="J128" s="478">
        <v>0</v>
      </c>
      <c r="K128" s="522">
        <v>0.11</v>
      </c>
      <c r="L128" s="477">
        <v>0</v>
      </c>
      <c r="M128" s="477">
        <v>0</v>
      </c>
      <c r="N128" s="498">
        <v>0</v>
      </c>
      <c r="O128" s="499">
        <v>0</v>
      </c>
      <c r="P128" s="523"/>
      <c r="Y128" s="168"/>
    </row>
    <row r="129" ht="16.5" hidden="1" customHeight="1" outlineLevel="3" spans="2:25">
      <c r="B129" s="470" t="s">
        <v>1771</v>
      </c>
      <c r="C129" s="473" t="s">
        <v>622</v>
      </c>
      <c r="D129" s="508" t="s">
        <v>1772</v>
      </c>
      <c r="E129" s="479" t="s">
        <v>1384</v>
      </c>
      <c r="F129" s="479"/>
      <c r="G129" s="511">
        <v>240</v>
      </c>
      <c r="H129" s="503" t="s">
        <v>1015</v>
      </c>
      <c r="I129" s="475">
        <v>15</v>
      </c>
      <c r="J129" s="475">
        <v>675.675675675676</v>
      </c>
      <c r="K129" s="517">
        <v>0.11</v>
      </c>
      <c r="L129" s="477">
        <v>243.243243243243</v>
      </c>
      <c r="M129" s="477">
        <v>26.7567567567568</v>
      </c>
      <c r="N129" s="498">
        <v>270</v>
      </c>
      <c r="O129" s="499">
        <v>14.4230769230769</v>
      </c>
      <c r="P129" s="523"/>
      <c r="Y129" s="168"/>
    </row>
    <row r="130" ht="16.5" customHeight="1" outlineLevel="3" spans="2:25">
      <c r="B130" s="470" t="s">
        <v>1773</v>
      </c>
      <c r="C130" s="473" t="s">
        <v>622</v>
      </c>
      <c r="D130" s="508" t="s">
        <v>1774</v>
      </c>
      <c r="E130" s="479" t="s">
        <v>1385</v>
      </c>
      <c r="F130" s="479"/>
      <c r="G130" s="512"/>
      <c r="H130" s="477"/>
      <c r="I130" s="478"/>
      <c r="J130" s="478">
        <v>0</v>
      </c>
      <c r="K130" s="522">
        <v>0.17</v>
      </c>
      <c r="L130" s="477">
        <v>0</v>
      </c>
      <c r="M130" s="477">
        <v>0</v>
      </c>
      <c r="N130" s="498">
        <v>0</v>
      </c>
      <c r="O130" s="499">
        <v>0</v>
      </c>
      <c r="P130" s="523"/>
      <c r="Y130" s="168"/>
    </row>
    <row r="131" ht="16.5" customHeight="1" outlineLevel="3" spans="2:25">
      <c r="B131" s="470" t="s">
        <v>1775</v>
      </c>
      <c r="C131" s="473" t="s">
        <v>622</v>
      </c>
      <c r="D131" s="508" t="s">
        <v>1776</v>
      </c>
      <c r="E131" s="479" t="s">
        <v>774</v>
      </c>
      <c r="F131" s="479"/>
      <c r="G131" s="511"/>
      <c r="H131" s="477"/>
      <c r="I131" s="475"/>
      <c r="J131" s="475">
        <v>0</v>
      </c>
      <c r="K131" s="517">
        <v>0.11</v>
      </c>
      <c r="L131" s="477">
        <v>0</v>
      </c>
      <c r="M131" s="477">
        <v>0</v>
      </c>
      <c r="N131" s="498">
        <v>0</v>
      </c>
      <c r="O131" s="499">
        <v>0</v>
      </c>
      <c r="P131" s="523"/>
      <c r="Y131" s="168"/>
    </row>
    <row r="132" ht="16.5" hidden="1" customHeight="1" outlineLevel="3" spans="2:25">
      <c r="B132" s="470" t="s">
        <v>1777</v>
      </c>
      <c r="C132" s="473" t="s">
        <v>622</v>
      </c>
      <c r="D132" s="508" t="s">
        <v>1778</v>
      </c>
      <c r="E132" s="479" t="s">
        <v>1387</v>
      </c>
      <c r="F132" s="479" t="s">
        <v>602</v>
      </c>
      <c r="G132" s="513">
        <v>2</v>
      </c>
      <c r="H132" s="503" t="s">
        <v>1779</v>
      </c>
      <c r="I132" s="475">
        <v>15</v>
      </c>
      <c r="J132" s="475">
        <v>36036.036036036</v>
      </c>
      <c r="K132" s="517">
        <v>0.11</v>
      </c>
      <c r="L132" s="477">
        <v>108.108108108108</v>
      </c>
      <c r="M132" s="477">
        <v>11.8918918918919</v>
      </c>
      <c r="N132" s="498">
        <v>120</v>
      </c>
      <c r="O132" s="499">
        <v>6.41025641025641</v>
      </c>
      <c r="P132" s="309"/>
      <c r="Y132" s="168"/>
    </row>
    <row r="133" ht="16.5" hidden="1" customHeight="1" outlineLevel="3" spans="2:25">
      <c r="B133" s="470" t="s">
        <v>1780</v>
      </c>
      <c r="C133" s="473" t="s">
        <v>622</v>
      </c>
      <c r="D133" s="508" t="s">
        <v>1781</v>
      </c>
      <c r="E133" s="479" t="s">
        <v>1388</v>
      </c>
      <c r="F133" s="479" t="s">
        <v>1782</v>
      </c>
      <c r="G133" s="510">
        <v>1</v>
      </c>
      <c r="H133" s="524"/>
      <c r="I133" s="475">
        <v>15</v>
      </c>
      <c r="J133" s="560">
        <v>126126.126126126</v>
      </c>
      <c r="K133" s="517">
        <v>0.11</v>
      </c>
      <c r="L133" s="477">
        <v>189.189189189189</v>
      </c>
      <c r="M133" s="477">
        <v>20.8108108108108</v>
      </c>
      <c r="N133" s="498">
        <v>210</v>
      </c>
      <c r="O133" s="499">
        <v>11.2179487179487</v>
      </c>
      <c r="P133" s="309"/>
      <c r="Y133" s="168"/>
    </row>
    <row r="134" ht="16.5" hidden="1" customHeight="1" outlineLevel="3" spans="2:25">
      <c r="B134" s="470" t="s">
        <v>1783</v>
      </c>
      <c r="C134" s="473" t="s">
        <v>622</v>
      </c>
      <c r="D134" s="508" t="s">
        <v>1784</v>
      </c>
      <c r="E134" s="479" t="s">
        <v>1387</v>
      </c>
      <c r="F134" s="479" t="s">
        <v>601</v>
      </c>
      <c r="G134" s="510">
        <v>9</v>
      </c>
      <c r="H134" s="524" t="s">
        <v>1785</v>
      </c>
      <c r="I134" s="475">
        <v>1328</v>
      </c>
      <c r="J134" s="475">
        <v>198.198198198198</v>
      </c>
      <c r="K134" s="517">
        <v>0.11</v>
      </c>
      <c r="L134" s="477">
        <v>236.886486486486</v>
      </c>
      <c r="M134" s="477">
        <v>26.0575135135135</v>
      </c>
      <c r="N134" s="498">
        <v>262.944</v>
      </c>
      <c r="O134" s="499">
        <v>14.0461538461538</v>
      </c>
      <c r="P134" s="309"/>
      <c r="Y134" s="168"/>
    </row>
    <row r="135" ht="16.5" hidden="1" customHeight="1" outlineLevel="3" spans="2:25">
      <c r="B135" s="470" t="s">
        <v>1786</v>
      </c>
      <c r="C135" s="473" t="s">
        <v>622</v>
      </c>
      <c r="D135" s="508" t="s">
        <v>1787</v>
      </c>
      <c r="E135" s="479" t="s">
        <v>774</v>
      </c>
      <c r="F135" s="290" t="s">
        <v>1537</v>
      </c>
      <c r="G135" s="510">
        <v>1</v>
      </c>
      <c r="H135" s="524" t="s">
        <v>655</v>
      </c>
      <c r="I135" s="475">
        <v>187200</v>
      </c>
      <c r="J135" s="475">
        <v>9</v>
      </c>
      <c r="K135" s="517">
        <v>0.11</v>
      </c>
      <c r="L135" s="477">
        <v>168.48</v>
      </c>
      <c r="M135" s="477">
        <v>18.5328</v>
      </c>
      <c r="N135" s="498">
        <v>187.0128</v>
      </c>
      <c r="O135" s="499">
        <v>9.99</v>
      </c>
      <c r="P135" s="309"/>
      <c r="Y135" s="168"/>
    </row>
    <row r="136" ht="16.5" hidden="1" customHeight="1" outlineLevel="2" collapsed="1" spans="2:25">
      <c r="B136" s="470" t="s">
        <v>1788</v>
      </c>
      <c r="C136" s="471" t="s">
        <v>657</v>
      </c>
      <c r="D136" s="508" t="s">
        <v>1789</v>
      </c>
      <c r="E136" s="290"/>
      <c r="F136" s="290"/>
      <c r="G136" s="292"/>
      <c r="H136" s="292"/>
      <c r="I136" s="475"/>
      <c r="J136" s="475">
        <v>0</v>
      </c>
      <c r="K136" s="517"/>
      <c r="L136" s="301">
        <v>927.752288288288</v>
      </c>
      <c r="M136" s="301">
        <v>102.052751711712</v>
      </c>
      <c r="N136" s="301">
        <v>1029.80504</v>
      </c>
      <c r="O136" s="499">
        <v>55.010952991453</v>
      </c>
      <c r="P136" s="309"/>
      <c r="Y136" s="168"/>
    </row>
    <row r="137" ht="16.5" hidden="1" customHeight="1" outlineLevel="3" spans="2:25">
      <c r="B137" s="470" t="s">
        <v>1790</v>
      </c>
      <c r="C137" s="473" t="s">
        <v>622</v>
      </c>
      <c r="D137" s="508" t="s">
        <v>1791</v>
      </c>
      <c r="E137" s="479" t="s">
        <v>1387</v>
      </c>
      <c r="F137" s="479" t="s">
        <v>1792</v>
      </c>
      <c r="G137" s="525">
        <v>21.42</v>
      </c>
      <c r="H137" s="503" t="s">
        <v>1793</v>
      </c>
      <c r="I137" s="543">
        <v>510</v>
      </c>
      <c r="J137" s="475">
        <v>126.126126126126</v>
      </c>
      <c r="K137" s="517">
        <v>0.11</v>
      </c>
      <c r="L137" s="477">
        <v>137.782702702703</v>
      </c>
      <c r="M137" s="477">
        <v>15.1560972972973</v>
      </c>
      <c r="N137" s="498">
        <v>152.9388</v>
      </c>
      <c r="O137" s="499">
        <v>8.16980769230769</v>
      </c>
      <c r="P137" s="309"/>
      <c r="Y137" s="168"/>
    </row>
    <row r="138" ht="16.5" customHeight="1" outlineLevel="3" spans="2:25">
      <c r="B138" s="470" t="s">
        <v>1794</v>
      </c>
      <c r="C138" s="473" t="s">
        <v>622</v>
      </c>
      <c r="D138" s="508" t="s">
        <v>1795</v>
      </c>
      <c r="E138" s="479" t="s">
        <v>1387</v>
      </c>
      <c r="F138" s="479"/>
      <c r="G138" s="525"/>
      <c r="H138" s="292"/>
      <c r="I138" s="475"/>
      <c r="J138" s="475">
        <v>0</v>
      </c>
      <c r="K138" s="517">
        <v>0.11</v>
      </c>
      <c r="L138" s="477">
        <v>0</v>
      </c>
      <c r="M138" s="477">
        <v>0</v>
      </c>
      <c r="N138" s="498">
        <v>0</v>
      </c>
      <c r="O138" s="499">
        <v>0</v>
      </c>
      <c r="P138" s="309"/>
      <c r="Y138" s="168"/>
    </row>
    <row r="139" ht="16.5" hidden="1" customHeight="1" outlineLevel="3" spans="2:25">
      <c r="B139" s="470" t="s">
        <v>1796</v>
      </c>
      <c r="C139" s="473" t="s">
        <v>622</v>
      </c>
      <c r="D139" s="508" t="s">
        <v>1797</v>
      </c>
      <c r="E139" s="479" t="s">
        <v>1387</v>
      </c>
      <c r="F139" s="479" t="s">
        <v>601</v>
      </c>
      <c r="G139" s="525">
        <v>12</v>
      </c>
      <c r="H139" s="292" t="s">
        <v>1637</v>
      </c>
      <c r="I139" s="475">
        <v>1328</v>
      </c>
      <c r="J139" s="560">
        <v>324.324324324324</v>
      </c>
      <c r="K139" s="517">
        <v>0.11</v>
      </c>
      <c r="L139" s="477">
        <v>516.843243243243</v>
      </c>
      <c r="M139" s="477">
        <v>56.8527567567568</v>
      </c>
      <c r="N139" s="498">
        <v>573.696</v>
      </c>
      <c r="O139" s="499">
        <v>30.6461538461538</v>
      </c>
      <c r="P139" s="309"/>
      <c r="Y139" s="168"/>
    </row>
    <row r="140" ht="16.5" hidden="1" customHeight="1" outlineLevel="3" spans="2:25">
      <c r="B140" s="470" t="s">
        <v>1798</v>
      </c>
      <c r="C140" s="473" t="s">
        <v>622</v>
      </c>
      <c r="D140" s="508" t="s">
        <v>1799</v>
      </c>
      <c r="E140" s="479" t="s">
        <v>1386</v>
      </c>
      <c r="F140" s="479" t="s">
        <v>601</v>
      </c>
      <c r="G140" s="510">
        <v>3.1</v>
      </c>
      <c r="H140" s="524" t="s">
        <v>1637</v>
      </c>
      <c r="I140" s="475">
        <v>1328</v>
      </c>
      <c r="J140" s="475">
        <v>106.306306306306</v>
      </c>
      <c r="K140" s="517">
        <v>0.11</v>
      </c>
      <c r="L140" s="477">
        <v>43.7641801801802</v>
      </c>
      <c r="M140" s="477">
        <v>4.81405981981982</v>
      </c>
      <c r="N140" s="498">
        <v>48.57824</v>
      </c>
      <c r="O140" s="499">
        <v>2.59499145299145</v>
      </c>
      <c r="P140" s="309"/>
      <c r="Y140" s="168"/>
    </row>
    <row r="141" ht="16.5" hidden="1" customHeight="1" outlineLevel="3" spans="2:25">
      <c r="B141" s="470" t="s">
        <v>1800</v>
      </c>
      <c r="C141" s="473" t="s">
        <v>622</v>
      </c>
      <c r="D141" s="508" t="s">
        <v>1801</v>
      </c>
      <c r="E141" s="479" t="s">
        <v>1387</v>
      </c>
      <c r="F141" s="479" t="s">
        <v>601</v>
      </c>
      <c r="G141" s="511">
        <v>0.08</v>
      </c>
      <c r="H141" s="292" t="s">
        <v>655</v>
      </c>
      <c r="I141" s="475">
        <v>187200</v>
      </c>
      <c r="J141" s="475">
        <v>153.153153153153</v>
      </c>
      <c r="K141" s="517">
        <v>0.11</v>
      </c>
      <c r="L141" s="477">
        <v>229.362162162162</v>
      </c>
      <c r="M141" s="477">
        <v>25.2298378378378</v>
      </c>
      <c r="N141" s="498">
        <v>254.592</v>
      </c>
      <c r="O141" s="499">
        <v>13.6</v>
      </c>
      <c r="P141" s="309"/>
      <c r="Y141" s="168"/>
    </row>
    <row r="142" ht="16.5" hidden="1" customHeight="1" outlineLevel="2" collapsed="1" spans="2:25">
      <c r="B142" s="470" t="s">
        <v>1802</v>
      </c>
      <c r="C142" s="471" t="s">
        <v>762</v>
      </c>
      <c r="D142" s="508" t="s">
        <v>1803</v>
      </c>
      <c r="E142" s="290"/>
      <c r="F142" s="290"/>
      <c r="G142" s="292"/>
      <c r="H142" s="292"/>
      <c r="I142" s="475"/>
      <c r="J142" s="475">
        <v>0</v>
      </c>
      <c r="K142" s="517"/>
      <c r="L142" s="301">
        <v>2930.06396396396</v>
      </c>
      <c r="M142" s="301">
        <v>322.307036036036</v>
      </c>
      <c r="N142" s="301">
        <v>3252.371</v>
      </c>
      <c r="O142" s="499">
        <v>173.737767094017</v>
      </c>
      <c r="P142" s="309"/>
      <c r="Y142" s="168"/>
    </row>
    <row r="143" ht="16.5" hidden="1" customHeight="1" outlineLevel="3" spans="2:25">
      <c r="B143" s="470" t="s">
        <v>1804</v>
      </c>
      <c r="C143" s="473" t="s">
        <v>622</v>
      </c>
      <c r="D143" s="508" t="s">
        <v>1805</v>
      </c>
      <c r="E143" s="479" t="s">
        <v>1386</v>
      </c>
      <c r="F143" s="479" t="s">
        <v>602</v>
      </c>
      <c r="G143" s="502">
        <v>1</v>
      </c>
      <c r="H143" s="503" t="s">
        <v>1806</v>
      </c>
      <c r="I143" s="475">
        <v>15</v>
      </c>
      <c r="J143" s="475">
        <v>6300</v>
      </c>
      <c r="K143" s="517">
        <v>0.11</v>
      </c>
      <c r="L143" s="477">
        <v>9.45</v>
      </c>
      <c r="M143" s="477">
        <v>1.0395</v>
      </c>
      <c r="N143" s="498">
        <v>10.4895</v>
      </c>
      <c r="O143" s="499">
        <v>0.560336538461538</v>
      </c>
      <c r="P143" s="309"/>
      <c r="Y143" s="168"/>
    </row>
    <row r="144" ht="16.5" hidden="1" customHeight="1" outlineLevel="3" spans="2:25">
      <c r="B144" s="470" t="s">
        <v>1807</v>
      </c>
      <c r="C144" s="473" t="s">
        <v>622</v>
      </c>
      <c r="D144" s="508" t="s">
        <v>1808</v>
      </c>
      <c r="E144" s="479" t="s">
        <v>1389</v>
      </c>
      <c r="F144" s="479" t="s">
        <v>601</v>
      </c>
      <c r="G144" s="525">
        <v>1</v>
      </c>
      <c r="H144" s="292" t="s">
        <v>1809</v>
      </c>
      <c r="I144" s="475">
        <v>1328</v>
      </c>
      <c r="J144" s="560">
        <v>4144.14414414414</v>
      </c>
      <c r="K144" s="517">
        <v>0.11</v>
      </c>
      <c r="L144" s="477">
        <v>550.342342342342</v>
      </c>
      <c r="M144" s="477">
        <v>60.5376576576577</v>
      </c>
      <c r="N144" s="498">
        <v>610.88</v>
      </c>
      <c r="O144" s="499">
        <v>32.6324786324786</v>
      </c>
      <c r="P144" s="309"/>
      <c r="Y144" s="168"/>
    </row>
    <row r="145" ht="16.5" hidden="1" customHeight="1" outlineLevel="3" spans="2:25">
      <c r="B145" s="470" t="s">
        <v>1810</v>
      </c>
      <c r="C145" s="473" t="s">
        <v>622</v>
      </c>
      <c r="D145" s="508" t="s">
        <v>1811</v>
      </c>
      <c r="E145" s="290" t="s">
        <v>931</v>
      </c>
      <c r="F145" s="479" t="s">
        <v>1792</v>
      </c>
      <c r="G145" s="525">
        <v>75</v>
      </c>
      <c r="H145" s="503" t="s">
        <v>821</v>
      </c>
      <c r="I145" s="475">
        <v>33</v>
      </c>
      <c r="J145" s="475">
        <v>940</v>
      </c>
      <c r="K145" s="517">
        <v>0.11</v>
      </c>
      <c r="L145" s="477">
        <v>232.65</v>
      </c>
      <c r="M145" s="477">
        <v>25.5915</v>
      </c>
      <c r="N145" s="498">
        <v>258.2415</v>
      </c>
      <c r="O145" s="499">
        <v>13.7949519230769</v>
      </c>
      <c r="P145" s="309"/>
      <c r="Y145" s="168"/>
    </row>
    <row r="146" ht="16.5" hidden="1" customHeight="1" outlineLevel="3" spans="2:25">
      <c r="B146" s="470" t="s">
        <v>1812</v>
      </c>
      <c r="C146" s="473" t="s">
        <v>622</v>
      </c>
      <c r="D146" s="508" t="s">
        <v>1813</v>
      </c>
      <c r="E146" s="479" t="s">
        <v>1386</v>
      </c>
      <c r="F146" s="290" t="s">
        <v>1537</v>
      </c>
      <c r="G146" s="510">
        <v>0.195</v>
      </c>
      <c r="H146" s="503" t="s">
        <v>1015</v>
      </c>
      <c r="I146" s="475">
        <v>187200</v>
      </c>
      <c r="J146" s="560">
        <v>585.585585585586</v>
      </c>
      <c r="K146" s="517">
        <v>0.11</v>
      </c>
      <c r="L146" s="477">
        <v>2137.62162162162</v>
      </c>
      <c r="M146" s="477">
        <v>235.138378378378</v>
      </c>
      <c r="N146" s="498">
        <v>2372.76</v>
      </c>
      <c r="O146" s="499">
        <v>126.75</v>
      </c>
      <c r="P146" s="309"/>
      <c r="Y146" s="168"/>
    </row>
    <row r="147" ht="16.5" hidden="1" customHeight="1" outlineLevel="2" collapsed="1" spans="2:25">
      <c r="B147" s="470" t="s">
        <v>1814</v>
      </c>
      <c r="C147" s="471" t="s">
        <v>778</v>
      </c>
      <c r="D147" s="508" t="s">
        <v>1815</v>
      </c>
      <c r="E147" s="290"/>
      <c r="F147" s="290"/>
      <c r="G147" s="292"/>
      <c r="H147" s="292"/>
      <c r="I147" s="475"/>
      <c r="J147" s="475">
        <v>0</v>
      </c>
      <c r="K147" s="517"/>
      <c r="L147" s="301">
        <v>522.848963963964</v>
      </c>
      <c r="M147" s="301">
        <v>57.513386036036</v>
      </c>
      <c r="N147" s="301">
        <v>580.36235</v>
      </c>
      <c r="O147" s="499">
        <v>31.0022622863248</v>
      </c>
      <c r="P147" s="309"/>
      <c r="Y147" s="168"/>
    </row>
    <row r="148" ht="16.5" hidden="1" customHeight="1" outlineLevel="3" spans="2:25">
      <c r="B148" s="470" t="s">
        <v>1816</v>
      </c>
      <c r="C148" s="473" t="s">
        <v>622</v>
      </c>
      <c r="D148" s="526" t="s">
        <v>1817</v>
      </c>
      <c r="E148" s="502" t="s">
        <v>774</v>
      </c>
      <c r="F148" s="502" t="s">
        <v>862</v>
      </c>
      <c r="G148" s="502">
        <v>1</v>
      </c>
      <c r="H148" s="292" t="s">
        <v>1015</v>
      </c>
      <c r="I148" s="475">
        <v>5650</v>
      </c>
      <c r="J148" s="475">
        <v>225</v>
      </c>
      <c r="K148" s="517">
        <v>0.11</v>
      </c>
      <c r="L148" s="477">
        <v>127.125</v>
      </c>
      <c r="M148" s="477">
        <v>13.98375</v>
      </c>
      <c r="N148" s="498">
        <v>141.10875</v>
      </c>
      <c r="O148" s="499">
        <v>7.53786057692308</v>
      </c>
      <c r="P148" s="309"/>
      <c r="Y148" s="168"/>
    </row>
    <row r="149" ht="16.5" hidden="1" customHeight="1" outlineLevel="3" spans="2:25">
      <c r="B149" s="470" t="s">
        <v>1818</v>
      </c>
      <c r="C149" s="473" t="s">
        <v>622</v>
      </c>
      <c r="D149" s="526" t="s">
        <v>1819</v>
      </c>
      <c r="E149" s="502" t="s">
        <v>774</v>
      </c>
      <c r="F149" s="290" t="s">
        <v>1537</v>
      </c>
      <c r="G149" s="502">
        <v>1</v>
      </c>
      <c r="H149" s="292" t="s">
        <v>1015</v>
      </c>
      <c r="I149" s="475">
        <v>187200</v>
      </c>
      <c r="J149" s="560">
        <v>18</v>
      </c>
      <c r="K149" s="517">
        <v>0.11</v>
      </c>
      <c r="L149" s="477">
        <v>336.96</v>
      </c>
      <c r="M149" s="477">
        <v>37.0656</v>
      </c>
      <c r="N149" s="498">
        <v>374.0256</v>
      </c>
      <c r="O149" s="499">
        <v>19.98</v>
      </c>
      <c r="P149" s="309"/>
      <c r="Y149" s="168"/>
    </row>
    <row r="150" ht="16.5" customHeight="1" outlineLevel="3" spans="2:25">
      <c r="B150" s="470" t="s">
        <v>1820</v>
      </c>
      <c r="C150" s="473" t="s">
        <v>622</v>
      </c>
      <c r="D150" s="526" t="s">
        <v>1821</v>
      </c>
      <c r="E150" s="502" t="s">
        <v>1390</v>
      </c>
      <c r="F150" s="502"/>
      <c r="G150" s="502"/>
      <c r="H150" s="524"/>
      <c r="I150" s="475"/>
      <c r="J150" s="475">
        <v>0</v>
      </c>
      <c r="K150" s="517">
        <v>0.17</v>
      </c>
      <c r="L150" s="477">
        <v>0</v>
      </c>
      <c r="M150" s="477">
        <v>0</v>
      </c>
      <c r="N150" s="498">
        <v>0</v>
      </c>
      <c r="O150" s="499">
        <v>0</v>
      </c>
      <c r="P150" s="309"/>
      <c r="Y150" s="168"/>
    </row>
    <row r="151" ht="16.5" hidden="1" customHeight="1" outlineLevel="3" spans="2:25">
      <c r="B151" s="470" t="s">
        <v>1822</v>
      </c>
      <c r="C151" s="473" t="s">
        <v>622</v>
      </c>
      <c r="D151" s="526" t="s">
        <v>1823</v>
      </c>
      <c r="E151" s="290" t="s">
        <v>1073</v>
      </c>
      <c r="F151" s="290" t="s">
        <v>1537</v>
      </c>
      <c r="G151" s="510">
        <v>1</v>
      </c>
      <c r="H151" s="503" t="s">
        <v>655</v>
      </c>
      <c r="I151" s="475">
        <v>187200</v>
      </c>
      <c r="J151" s="563">
        <v>2.5</v>
      </c>
      <c r="K151" s="517">
        <v>0.11</v>
      </c>
      <c r="L151" s="477">
        <v>46.8</v>
      </c>
      <c r="M151" s="477">
        <v>5.148</v>
      </c>
      <c r="N151" s="498">
        <v>51.948</v>
      </c>
      <c r="O151" s="499">
        <v>2.775</v>
      </c>
      <c r="P151" s="309"/>
      <c r="Y151" s="168"/>
    </row>
    <row r="152" ht="16.5" hidden="1" customHeight="1" outlineLevel="3" spans="2:25">
      <c r="B152" s="470" t="s">
        <v>1824</v>
      </c>
      <c r="C152" s="473" t="s">
        <v>622</v>
      </c>
      <c r="D152" s="526" t="s">
        <v>1825</v>
      </c>
      <c r="E152" s="479" t="s">
        <v>1391</v>
      </c>
      <c r="F152" s="479" t="s">
        <v>601</v>
      </c>
      <c r="G152" s="502">
        <v>1</v>
      </c>
      <c r="H152" s="524" t="s">
        <v>1826</v>
      </c>
      <c r="I152" s="475">
        <v>1328</v>
      </c>
      <c r="J152" s="475">
        <v>90.0900900900901</v>
      </c>
      <c r="K152" s="517">
        <v>0.11</v>
      </c>
      <c r="L152" s="477">
        <v>11.963963963964</v>
      </c>
      <c r="M152" s="477">
        <v>1.31603603603604</v>
      </c>
      <c r="N152" s="498">
        <v>13.28</v>
      </c>
      <c r="O152" s="499">
        <v>0.709401709401709</v>
      </c>
      <c r="P152" s="309"/>
      <c r="Y152" s="168"/>
    </row>
    <row r="153" ht="16.5" hidden="1" customHeight="1" outlineLevel="3" spans="2:25">
      <c r="B153" s="470"/>
      <c r="C153" s="473"/>
      <c r="D153" s="526"/>
      <c r="E153" s="290"/>
      <c r="F153" s="290"/>
      <c r="G153" s="510"/>
      <c r="H153" s="503"/>
      <c r="I153" s="475"/>
      <c r="J153" s="475">
        <v>0</v>
      </c>
      <c r="K153" s="517"/>
      <c r="L153" s="524"/>
      <c r="M153" s="524"/>
      <c r="N153" s="498"/>
      <c r="O153" s="499"/>
      <c r="P153" s="309"/>
      <c r="Y153" s="168"/>
    </row>
    <row r="154" ht="16.5" hidden="1" customHeight="1" outlineLevel="1" collapsed="1" spans="2:25">
      <c r="B154" s="121" t="s">
        <v>551</v>
      </c>
      <c r="C154" s="193">
        <v>2</v>
      </c>
      <c r="D154" s="121" t="s">
        <v>1827</v>
      </c>
      <c r="E154" s="193"/>
      <c r="F154" s="193"/>
      <c r="G154" s="193"/>
      <c r="H154" s="155"/>
      <c r="I154" s="492"/>
      <c r="J154" s="492"/>
      <c r="K154" s="521"/>
      <c r="L154" s="155">
        <v>1704.66386486486</v>
      </c>
      <c r="M154" s="155">
        <v>197.508965135135</v>
      </c>
      <c r="N154" s="155">
        <v>1902.17283</v>
      </c>
      <c r="O154" s="495">
        <v>101.611796474359</v>
      </c>
      <c r="P154" s="233"/>
      <c r="Y154" s="168"/>
    </row>
    <row r="155" ht="16.5" hidden="1" customHeight="1" outlineLevel="2" collapsed="1" spans="2:25">
      <c r="B155" s="470" t="s">
        <v>1828</v>
      </c>
      <c r="C155" s="471" t="s">
        <v>619</v>
      </c>
      <c r="D155" s="508" t="s">
        <v>1829</v>
      </c>
      <c r="E155" s="290"/>
      <c r="F155" s="290"/>
      <c r="G155" s="292"/>
      <c r="H155" s="292"/>
      <c r="I155" s="475"/>
      <c r="J155" s="475">
        <v>0</v>
      </c>
      <c r="K155" s="517"/>
      <c r="L155" s="301">
        <v>105.975</v>
      </c>
      <c r="M155" s="301">
        <v>12.18375</v>
      </c>
      <c r="N155" s="475">
        <v>118.15875</v>
      </c>
      <c r="O155" s="499">
        <v>6.31189903846154</v>
      </c>
      <c r="P155" s="309"/>
      <c r="Y155" s="168"/>
    </row>
    <row r="156" ht="16.5" hidden="1" customHeight="1" outlineLevel="3" spans="2:25">
      <c r="B156" s="470" t="s">
        <v>1830</v>
      </c>
      <c r="C156" s="473" t="s">
        <v>622</v>
      </c>
      <c r="D156" s="526" t="s">
        <v>1831</v>
      </c>
      <c r="E156" s="290" t="s">
        <v>1363</v>
      </c>
      <c r="F156" s="290" t="s">
        <v>602</v>
      </c>
      <c r="G156" s="292">
        <v>45</v>
      </c>
      <c r="H156" s="503" t="s">
        <v>1832</v>
      </c>
      <c r="I156" s="475">
        <v>15</v>
      </c>
      <c r="J156" s="475">
        <v>1440</v>
      </c>
      <c r="K156" s="517">
        <v>0.11</v>
      </c>
      <c r="L156" s="477">
        <v>97.2</v>
      </c>
      <c r="M156" s="477">
        <v>10.692</v>
      </c>
      <c r="N156" s="498">
        <v>107.892</v>
      </c>
      <c r="O156" s="499">
        <v>5.76346153846154</v>
      </c>
      <c r="P156" s="309"/>
      <c r="Q156" s="168">
        <v>1750.5</v>
      </c>
      <c r="Y156" s="168"/>
    </row>
    <row r="157" ht="16.5" hidden="1" customHeight="1" outlineLevel="3" spans="2:25">
      <c r="B157" s="470" t="s">
        <v>1833</v>
      </c>
      <c r="C157" s="473" t="s">
        <v>622</v>
      </c>
      <c r="D157" s="526" t="s">
        <v>1834</v>
      </c>
      <c r="E157" s="290" t="s">
        <v>1371</v>
      </c>
      <c r="F157" s="290" t="s">
        <v>602</v>
      </c>
      <c r="G157" s="292">
        <v>45</v>
      </c>
      <c r="H157" s="503" t="s">
        <v>1832</v>
      </c>
      <c r="I157" s="475">
        <v>15</v>
      </c>
      <c r="J157" s="475">
        <v>100</v>
      </c>
      <c r="K157" s="517">
        <v>0.17</v>
      </c>
      <c r="L157" s="477">
        <v>6.75</v>
      </c>
      <c r="M157" s="477">
        <v>1.1475</v>
      </c>
      <c r="N157" s="498">
        <v>7.8975</v>
      </c>
      <c r="O157" s="499">
        <v>0.421875</v>
      </c>
      <c r="P157" s="309"/>
      <c r="Y157" s="168"/>
    </row>
    <row r="158" ht="16.5" hidden="1" customHeight="1" outlineLevel="3" spans="2:25">
      <c r="B158" s="470" t="s">
        <v>1835</v>
      </c>
      <c r="C158" s="473" t="s">
        <v>622</v>
      </c>
      <c r="D158" s="526" t="s">
        <v>1836</v>
      </c>
      <c r="E158" s="290" t="s">
        <v>1373</v>
      </c>
      <c r="F158" s="290" t="s">
        <v>602</v>
      </c>
      <c r="G158" s="292">
        <v>45</v>
      </c>
      <c r="H158" s="503" t="s">
        <v>1832</v>
      </c>
      <c r="I158" s="475">
        <v>15</v>
      </c>
      <c r="J158" s="475">
        <v>30</v>
      </c>
      <c r="K158" s="517">
        <v>0.17</v>
      </c>
      <c r="L158" s="477">
        <v>2.025</v>
      </c>
      <c r="M158" s="477">
        <v>0.34425</v>
      </c>
      <c r="N158" s="498">
        <v>2.36925</v>
      </c>
      <c r="O158" s="499">
        <v>0.1265625</v>
      </c>
      <c r="P158" s="309"/>
      <c r="Y158" s="168"/>
    </row>
    <row r="159" ht="16.5" customHeight="1" outlineLevel="3" spans="2:25">
      <c r="B159" s="470" t="s">
        <v>1837</v>
      </c>
      <c r="C159" s="473" t="s">
        <v>622</v>
      </c>
      <c r="D159" s="526" t="s">
        <v>1838</v>
      </c>
      <c r="E159" s="528" t="s">
        <v>261</v>
      </c>
      <c r="F159" s="290"/>
      <c r="G159" s="292"/>
      <c r="H159" s="292"/>
      <c r="I159" s="475"/>
      <c r="J159" s="475">
        <v>0</v>
      </c>
      <c r="K159" s="517">
        <v>0.11</v>
      </c>
      <c r="L159" s="477">
        <v>0</v>
      </c>
      <c r="M159" s="477">
        <v>0</v>
      </c>
      <c r="N159" s="498">
        <v>0</v>
      </c>
      <c r="O159" s="499">
        <v>0</v>
      </c>
      <c r="P159" s="309"/>
      <c r="Y159" s="168"/>
    </row>
    <row r="160" ht="16.5" customHeight="1" outlineLevel="3" spans="2:25">
      <c r="B160" s="470" t="s">
        <v>1839</v>
      </c>
      <c r="C160" s="473" t="s">
        <v>622</v>
      </c>
      <c r="D160" s="526" t="s">
        <v>1840</v>
      </c>
      <c r="E160" s="290"/>
      <c r="F160" s="290"/>
      <c r="G160" s="108"/>
      <c r="H160" s="292"/>
      <c r="I160" s="475"/>
      <c r="J160" s="475">
        <v>0</v>
      </c>
      <c r="K160" s="517">
        <v>0.17</v>
      </c>
      <c r="L160" s="477">
        <v>0</v>
      </c>
      <c r="M160" s="477">
        <v>0</v>
      </c>
      <c r="N160" s="498">
        <v>0</v>
      </c>
      <c r="O160" s="499">
        <v>0</v>
      </c>
      <c r="P160" s="523"/>
      <c r="Y160" s="168"/>
    </row>
    <row r="161" ht="16.5" customHeight="1" outlineLevel="3" spans="2:25">
      <c r="B161" s="470" t="s">
        <v>1841</v>
      </c>
      <c r="C161" s="473" t="s">
        <v>622</v>
      </c>
      <c r="D161" s="526" t="s">
        <v>1842</v>
      </c>
      <c r="E161" s="290"/>
      <c r="F161" s="290"/>
      <c r="G161" s="108"/>
      <c r="H161" s="292"/>
      <c r="I161" s="475"/>
      <c r="J161" s="475">
        <v>0</v>
      </c>
      <c r="K161" s="517">
        <v>0.11</v>
      </c>
      <c r="L161" s="477">
        <v>0</v>
      </c>
      <c r="M161" s="477">
        <v>0</v>
      </c>
      <c r="N161" s="498">
        <v>0</v>
      </c>
      <c r="O161" s="499">
        <v>0</v>
      </c>
      <c r="P161" s="523"/>
      <c r="Y161" s="168"/>
    </row>
    <row r="162" ht="16.5" hidden="1" customHeight="1" outlineLevel="2" collapsed="1" spans="2:25">
      <c r="B162" s="470" t="s">
        <v>1843</v>
      </c>
      <c r="C162" s="471" t="s">
        <v>657</v>
      </c>
      <c r="D162" s="508" t="s">
        <v>1844</v>
      </c>
      <c r="E162" s="290"/>
      <c r="F162" s="290"/>
      <c r="G162" s="292"/>
      <c r="H162" s="292"/>
      <c r="I162" s="475"/>
      <c r="J162" s="475">
        <v>0</v>
      </c>
      <c r="K162" s="517"/>
      <c r="L162" s="301">
        <v>64.56</v>
      </c>
      <c r="M162" s="301">
        <v>7.4472</v>
      </c>
      <c r="N162" s="475">
        <v>72.0072</v>
      </c>
      <c r="O162" s="499">
        <v>3.84653846153846</v>
      </c>
      <c r="P162" s="309"/>
      <c r="Y162" s="168"/>
    </row>
    <row r="163" ht="16.5" hidden="1" customHeight="1" outlineLevel="3" spans="2:25">
      <c r="B163" s="470" t="s">
        <v>1845</v>
      </c>
      <c r="C163" s="473" t="s">
        <v>622</v>
      </c>
      <c r="D163" s="526" t="s">
        <v>1846</v>
      </c>
      <c r="E163" s="290" t="s">
        <v>1363</v>
      </c>
      <c r="F163" s="290" t="s">
        <v>602</v>
      </c>
      <c r="G163" s="292">
        <v>40</v>
      </c>
      <c r="H163" s="503" t="s">
        <v>1832</v>
      </c>
      <c r="I163" s="475">
        <v>15</v>
      </c>
      <c r="J163" s="475">
        <v>980</v>
      </c>
      <c r="K163" s="517">
        <v>0.11</v>
      </c>
      <c r="L163" s="477">
        <v>58.8</v>
      </c>
      <c r="M163" s="477">
        <v>6.468</v>
      </c>
      <c r="N163" s="498">
        <v>65.268</v>
      </c>
      <c r="O163" s="499">
        <v>3.48653846153846</v>
      </c>
      <c r="P163" s="309"/>
      <c r="Q163" s="168">
        <v>1200.12</v>
      </c>
      <c r="Y163" s="168"/>
    </row>
    <row r="164" ht="16.5" hidden="1" customHeight="1" outlineLevel="3" spans="2:25">
      <c r="B164" s="470" t="s">
        <v>1847</v>
      </c>
      <c r="C164" s="473" t="s">
        <v>622</v>
      </c>
      <c r="D164" s="526" t="s">
        <v>1848</v>
      </c>
      <c r="E164" s="290" t="s">
        <v>1371</v>
      </c>
      <c r="F164" s="290" t="s">
        <v>602</v>
      </c>
      <c r="G164" s="292">
        <v>40</v>
      </c>
      <c r="H164" s="503" t="s">
        <v>1832</v>
      </c>
      <c r="I164" s="475">
        <v>15</v>
      </c>
      <c r="J164" s="475">
        <v>80</v>
      </c>
      <c r="K164" s="517">
        <v>0.17</v>
      </c>
      <c r="L164" s="477">
        <v>4.8</v>
      </c>
      <c r="M164" s="477">
        <v>0.816</v>
      </c>
      <c r="N164" s="498">
        <v>5.616</v>
      </c>
      <c r="O164" s="499">
        <v>0.3</v>
      </c>
      <c r="P164" s="309"/>
      <c r="Y164" s="168"/>
    </row>
    <row r="165" ht="16.5" hidden="1" customHeight="1" outlineLevel="3" spans="2:25">
      <c r="B165" s="470" t="s">
        <v>1849</v>
      </c>
      <c r="C165" s="473" t="s">
        <v>622</v>
      </c>
      <c r="D165" s="526" t="s">
        <v>1850</v>
      </c>
      <c r="E165" s="290" t="s">
        <v>1373</v>
      </c>
      <c r="F165" s="290" t="s">
        <v>602</v>
      </c>
      <c r="G165" s="292">
        <v>40</v>
      </c>
      <c r="H165" s="503" t="s">
        <v>1832</v>
      </c>
      <c r="I165" s="475">
        <v>15</v>
      </c>
      <c r="J165" s="475">
        <v>16</v>
      </c>
      <c r="K165" s="517">
        <v>0.17</v>
      </c>
      <c r="L165" s="477">
        <v>0.96</v>
      </c>
      <c r="M165" s="477">
        <v>0.1632</v>
      </c>
      <c r="N165" s="498">
        <v>1.1232</v>
      </c>
      <c r="O165" s="499">
        <v>0.06</v>
      </c>
      <c r="P165" s="309"/>
      <c r="Y165" s="168"/>
    </row>
    <row r="166" ht="16.5" customHeight="1" outlineLevel="3" spans="2:25">
      <c r="B166" s="470" t="s">
        <v>1851</v>
      </c>
      <c r="C166" s="473" t="s">
        <v>622</v>
      </c>
      <c r="D166" s="526" t="s">
        <v>1852</v>
      </c>
      <c r="E166" s="290" t="s">
        <v>261</v>
      </c>
      <c r="F166" s="290"/>
      <c r="G166" s="292"/>
      <c r="H166" s="292"/>
      <c r="I166" s="475"/>
      <c r="J166" s="475">
        <v>0</v>
      </c>
      <c r="K166" s="517">
        <v>0.11</v>
      </c>
      <c r="L166" s="477">
        <v>0</v>
      </c>
      <c r="M166" s="477">
        <v>0</v>
      </c>
      <c r="N166" s="498">
        <v>0</v>
      </c>
      <c r="O166" s="499">
        <v>0</v>
      </c>
      <c r="P166" s="309"/>
      <c r="Y166" s="168"/>
    </row>
    <row r="167" ht="16.5" customHeight="1" outlineLevel="3" spans="2:25">
      <c r="B167" s="470" t="s">
        <v>1853</v>
      </c>
      <c r="C167" s="473" t="s">
        <v>622</v>
      </c>
      <c r="D167" s="526" t="s">
        <v>1854</v>
      </c>
      <c r="E167" s="479"/>
      <c r="F167" s="479"/>
      <c r="G167" s="108"/>
      <c r="H167" s="292"/>
      <c r="I167" s="475"/>
      <c r="J167" s="475">
        <v>0</v>
      </c>
      <c r="K167" s="517">
        <v>0.17</v>
      </c>
      <c r="L167" s="477">
        <v>0</v>
      </c>
      <c r="M167" s="477">
        <v>0</v>
      </c>
      <c r="N167" s="498">
        <v>0</v>
      </c>
      <c r="O167" s="499">
        <v>0</v>
      </c>
      <c r="P167" s="523"/>
      <c r="Y167" s="168"/>
    </row>
    <row r="168" ht="16.5" customHeight="1" outlineLevel="2" spans="2:25">
      <c r="B168" s="470" t="s">
        <v>1855</v>
      </c>
      <c r="C168" s="471" t="s">
        <v>762</v>
      </c>
      <c r="D168" s="508" t="s">
        <v>1856</v>
      </c>
      <c r="E168" s="290"/>
      <c r="F168" s="290"/>
      <c r="G168" s="292"/>
      <c r="H168" s="292"/>
      <c r="I168" s="475"/>
      <c r="J168" s="475">
        <v>0</v>
      </c>
      <c r="K168" s="517">
        <v>0.11</v>
      </c>
      <c r="L168" s="477">
        <v>0</v>
      </c>
      <c r="M168" s="477">
        <v>0</v>
      </c>
      <c r="N168" s="498">
        <v>0</v>
      </c>
      <c r="O168" s="499">
        <v>0</v>
      </c>
      <c r="P168" s="309"/>
      <c r="Y168" s="168"/>
    </row>
    <row r="169" ht="16.5" customHeight="1" outlineLevel="2" spans="2:25">
      <c r="B169" s="470" t="s">
        <v>1857</v>
      </c>
      <c r="C169" s="471" t="s">
        <v>778</v>
      </c>
      <c r="D169" s="508" t="s">
        <v>1858</v>
      </c>
      <c r="E169" s="290" t="s">
        <v>1363</v>
      </c>
      <c r="F169" s="290" t="s">
        <v>602</v>
      </c>
      <c r="G169" s="292">
        <v>110</v>
      </c>
      <c r="H169" s="503" t="s">
        <v>1832</v>
      </c>
      <c r="I169" s="475">
        <v>15</v>
      </c>
      <c r="J169" s="475"/>
      <c r="K169" s="517">
        <v>0.11</v>
      </c>
      <c r="L169" s="477">
        <v>0</v>
      </c>
      <c r="M169" s="477">
        <v>0</v>
      </c>
      <c r="N169" s="498">
        <v>0</v>
      </c>
      <c r="O169" s="499">
        <v>0</v>
      </c>
      <c r="P169" s="309"/>
      <c r="Y169" s="168"/>
    </row>
    <row r="170" ht="16.5" hidden="1" customHeight="1" outlineLevel="2" spans="2:25">
      <c r="B170" s="470" t="s">
        <v>1859</v>
      </c>
      <c r="C170" s="471" t="s">
        <v>781</v>
      </c>
      <c r="D170" s="508" t="s">
        <v>1860</v>
      </c>
      <c r="E170" s="479" t="s">
        <v>774</v>
      </c>
      <c r="F170" s="479" t="s">
        <v>1792</v>
      </c>
      <c r="G170" s="525">
        <v>1</v>
      </c>
      <c r="H170" s="503" t="s">
        <v>1861</v>
      </c>
      <c r="I170" s="475">
        <v>510</v>
      </c>
      <c r="J170" s="475">
        <v>2252.25225225225</v>
      </c>
      <c r="K170" s="517">
        <v>0.11</v>
      </c>
      <c r="L170" s="477">
        <v>114.864864864865</v>
      </c>
      <c r="M170" s="477">
        <v>12.6351351351351</v>
      </c>
      <c r="N170" s="498">
        <v>127.5</v>
      </c>
      <c r="O170" s="499">
        <v>6.81089743589743</v>
      </c>
      <c r="P170" s="309"/>
      <c r="Y170" s="168"/>
    </row>
    <row r="171" ht="16.5" hidden="1" customHeight="1" outlineLevel="2" collapsed="1" spans="2:25">
      <c r="B171" s="470" t="s">
        <v>1862</v>
      </c>
      <c r="C171" s="471" t="s">
        <v>788</v>
      </c>
      <c r="D171" s="508" t="s">
        <v>1863</v>
      </c>
      <c r="E171" s="290"/>
      <c r="F171" s="290"/>
      <c r="G171" s="292"/>
      <c r="H171" s="292"/>
      <c r="I171" s="475"/>
      <c r="J171" s="475">
        <v>0</v>
      </c>
      <c r="K171" s="517"/>
      <c r="L171" s="477">
        <v>1419.264</v>
      </c>
      <c r="M171" s="477">
        <v>165.24288</v>
      </c>
      <c r="N171" s="568">
        <v>1584.50688</v>
      </c>
      <c r="O171" s="499">
        <v>84.6424615384615</v>
      </c>
      <c r="P171" s="309"/>
      <c r="Y171" s="168"/>
    </row>
    <row r="172" ht="16.5" hidden="1" customHeight="1" outlineLevel="3" spans="2:25">
      <c r="B172" s="470" t="s">
        <v>1864</v>
      </c>
      <c r="C172" s="473" t="s">
        <v>622</v>
      </c>
      <c r="D172" s="526" t="s">
        <v>1865</v>
      </c>
      <c r="E172" s="290" t="s">
        <v>1363</v>
      </c>
      <c r="F172" s="479" t="s">
        <v>1866</v>
      </c>
      <c r="G172" s="525">
        <v>33</v>
      </c>
      <c r="H172" s="503" t="s">
        <v>1861</v>
      </c>
      <c r="I172" s="475">
        <v>480</v>
      </c>
      <c r="J172" s="475">
        <v>800</v>
      </c>
      <c r="K172" s="517">
        <v>0.11</v>
      </c>
      <c r="L172" s="477">
        <v>1267.2</v>
      </c>
      <c r="M172" s="477">
        <v>139.392</v>
      </c>
      <c r="N172" s="498">
        <v>1406.592</v>
      </c>
      <c r="O172" s="499">
        <v>75.1384615384615</v>
      </c>
      <c r="P172" s="523"/>
      <c r="Q172" s="168">
        <v>1000.32</v>
      </c>
      <c r="Y172" s="168"/>
    </row>
    <row r="173" ht="16.5" hidden="1" customHeight="1" outlineLevel="3" spans="2:25">
      <c r="B173" s="470" t="s">
        <v>1867</v>
      </c>
      <c r="C173" s="473" t="s">
        <v>622</v>
      </c>
      <c r="D173" s="526" t="s">
        <v>1868</v>
      </c>
      <c r="E173" s="290" t="s">
        <v>1371</v>
      </c>
      <c r="F173" s="479" t="s">
        <v>1866</v>
      </c>
      <c r="G173" s="525">
        <v>33</v>
      </c>
      <c r="H173" s="503" t="s">
        <v>1861</v>
      </c>
      <c r="I173" s="475">
        <v>480</v>
      </c>
      <c r="J173" s="475">
        <v>80</v>
      </c>
      <c r="K173" s="517">
        <v>0.17</v>
      </c>
      <c r="L173" s="477">
        <v>126.72</v>
      </c>
      <c r="M173" s="477">
        <v>21.5424</v>
      </c>
      <c r="N173" s="498">
        <v>148.2624</v>
      </c>
      <c r="O173" s="499">
        <v>7.92</v>
      </c>
      <c r="P173" s="523"/>
      <c r="Y173" s="168"/>
    </row>
    <row r="174" ht="16.5" hidden="1" customHeight="1" outlineLevel="3" spans="2:25">
      <c r="B174" s="470" t="s">
        <v>1869</v>
      </c>
      <c r="C174" s="473" t="s">
        <v>622</v>
      </c>
      <c r="D174" s="526" t="s">
        <v>1870</v>
      </c>
      <c r="E174" s="290" t="s">
        <v>1373</v>
      </c>
      <c r="F174" s="479" t="s">
        <v>1866</v>
      </c>
      <c r="G174" s="525">
        <v>33</v>
      </c>
      <c r="H174" s="503" t="s">
        <v>1861</v>
      </c>
      <c r="I174" s="475">
        <v>480</v>
      </c>
      <c r="J174" s="475">
        <v>16</v>
      </c>
      <c r="K174" s="517">
        <v>0.17</v>
      </c>
      <c r="L174" s="477">
        <v>25.344</v>
      </c>
      <c r="M174" s="477">
        <v>4.30848</v>
      </c>
      <c r="N174" s="498">
        <v>29.65248</v>
      </c>
      <c r="O174" s="499">
        <v>1.584</v>
      </c>
      <c r="P174" s="523"/>
      <c r="Y174" s="168"/>
    </row>
    <row r="175" ht="16.5" customHeight="1" outlineLevel="3" spans="2:25">
      <c r="B175" s="470" t="s">
        <v>1871</v>
      </c>
      <c r="C175" s="473" t="s">
        <v>622</v>
      </c>
      <c r="D175" s="526" t="s">
        <v>1872</v>
      </c>
      <c r="E175" s="290" t="s">
        <v>1372</v>
      </c>
      <c r="F175" s="65"/>
      <c r="G175" s="525">
        <v>33</v>
      </c>
      <c r="H175" s="503" t="s">
        <v>1861</v>
      </c>
      <c r="I175" s="475">
        <v>480</v>
      </c>
      <c r="J175" s="475"/>
      <c r="K175" s="517">
        <v>0.17</v>
      </c>
      <c r="L175" s="477">
        <v>0</v>
      </c>
      <c r="M175" s="477">
        <v>0</v>
      </c>
      <c r="N175" s="498">
        <v>0</v>
      </c>
      <c r="O175" s="499">
        <v>0</v>
      </c>
      <c r="P175" s="523"/>
      <c r="Y175" s="168"/>
    </row>
    <row r="176" ht="16.5" customHeight="1" outlineLevel="2" spans="2:25">
      <c r="B176" s="470" t="s">
        <v>1873</v>
      </c>
      <c r="C176" s="471" t="s">
        <v>791</v>
      </c>
      <c r="D176" s="508" t="s">
        <v>1874</v>
      </c>
      <c r="E176" s="290"/>
      <c r="F176" s="290"/>
      <c r="G176" s="292"/>
      <c r="H176" s="292"/>
      <c r="I176" s="475"/>
      <c r="J176" s="475">
        <v>0</v>
      </c>
      <c r="K176" s="517">
        <v>0.11</v>
      </c>
      <c r="L176" s="477">
        <v>0</v>
      </c>
      <c r="M176" s="477">
        <v>0</v>
      </c>
      <c r="N176" s="498">
        <v>0</v>
      </c>
      <c r="O176" s="499">
        <v>0</v>
      </c>
      <c r="P176" s="309"/>
      <c r="Y176" s="168"/>
    </row>
    <row r="177" ht="16.5" customHeight="1" outlineLevel="2" spans="2:25">
      <c r="B177" s="470" t="s">
        <v>1875</v>
      </c>
      <c r="C177" s="471" t="s">
        <v>794</v>
      </c>
      <c r="D177" s="508" t="s">
        <v>1876</v>
      </c>
      <c r="E177" s="290"/>
      <c r="F177" s="290"/>
      <c r="G177" s="292"/>
      <c r="H177" s="292"/>
      <c r="I177" s="475"/>
      <c r="J177" s="475">
        <v>0</v>
      </c>
      <c r="K177" s="517">
        <v>0.11</v>
      </c>
      <c r="L177" s="477">
        <v>0</v>
      </c>
      <c r="M177" s="477">
        <v>0</v>
      </c>
      <c r="N177" s="498">
        <v>0</v>
      </c>
      <c r="O177" s="499">
        <v>0</v>
      </c>
      <c r="P177" s="309"/>
      <c r="Y177" s="168"/>
    </row>
    <row r="178" ht="16.5" customHeight="1" outlineLevel="2" spans="2:25">
      <c r="B178" s="470" t="s">
        <v>1877</v>
      </c>
      <c r="C178" s="471" t="s">
        <v>797</v>
      </c>
      <c r="D178" s="508" t="s">
        <v>1878</v>
      </c>
      <c r="E178" s="290"/>
      <c r="F178" s="290"/>
      <c r="G178" s="292"/>
      <c r="H178" s="292"/>
      <c r="I178" s="475"/>
      <c r="J178" s="475">
        <v>0</v>
      </c>
      <c r="K178" s="517">
        <v>0.11</v>
      </c>
      <c r="L178" s="477">
        <v>0</v>
      </c>
      <c r="M178" s="477">
        <v>0</v>
      </c>
      <c r="N178" s="498">
        <v>0</v>
      </c>
      <c r="O178" s="499">
        <v>0</v>
      </c>
      <c r="P178" s="309"/>
      <c r="Y178" s="168"/>
    </row>
    <row r="179" ht="16.5" customHeight="1" outlineLevel="2" spans="2:25">
      <c r="B179" s="470" t="s">
        <v>1879</v>
      </c>
      <c r="C179" s="471" t="s">
        <v>1519</v>
      </c>
      <c r="D179" s="508" t="s">
        <v>1880</v>
      </c>
      <c r="E179" s="290"/>
      <c r="F179" s="290"/>
      <c r="G179" s="292"/>
      <c r="H179" s="292"/>
      <c r="I179" s="475"/>
      <c r="J179" s="475">
        <v>0</v>
      </c>
      <c r="K179" s="517">
        <v>0.17</v>
      </c>
      <c r="L179" s="477">
        <v>0</v>
      </c>
      <c r="M179" s="477">
        <v>0</v>
      </c>
      <c r="N179" s="498">
        <v>0</v>
      </c>
      <c r="O179" s="499">
        <v>0</v>
      </c>
      <c r="P179" s="309"/>
      <c r="Y179" s="168"/>
    </row>
    <row r="180" s="456" customFormat="1" ht="16.5" hidden="1" customHeight="1" outlineLevel="1" collapsed="1" spans="2:16">
      <c r="B180" s="529" t="s">
        <v>553</v>
      </c>
      <c r="C180" s="530">
        <v>3</v>
      </c>
      <c r="D180" s="529" t="s">
        <v>554</v>
      </c>
      <c r="E180" s="530"/>
      <c r="F180" s="530"/>
      <c r="G180" s="530"/>
      <c r="H180" s="531"/>
      <c r="I180" s="533"/>
      <c r="J180" s="533"/>
      <c r="K180" s="534"/>
      <c r="L180" s="531">
        <v>664.1136</v>
      </c>
      <c r="M180" s="531">
        <v>77.116176</v>
      </c>
      <c r="N180" s="531">
        <v>741.229776</v>
      </c>
      <c r="O180" s="535">
        <v>39.5956076923077</v>
      </c>
      <c r="P180" s="536"/>
    </row>
    <row r="181" ht="16.5" hidden="1" customHeight="1" outlineLevel="2" collapsed="1" spans="2:25">
      <c r="B181" s="470" t="s">
        <v>1881</v>
      </c>
      <c r="C181" s="471" t="s">
        <v>619</v>
      </c>
      <c r="D181" s="508" t="s">
        <v>1882</v>
      </c>
      <c r="E181" s="479"/>
      <c r="F181" s="479"/>
      <c r="G181" s="292"/>
      <c r="H181" s="292"/>
      <c r="I181" s="475"/>
      <c r="J181" s="475">
        <v>0</v>
      </c>
      <c r="K181" s="517"/>
      <c r="L181" s="301">
        <v>664.1136</v>
      </c>
      <c r="M181" s="301">
        <v>77.116176</v>
      </c>
      <c r="N181" s="301">
        <v>741.229776</v>
      </c>
      <c r="O181" s="499">
        <v>39.5956076923077</v>
      </c>
      <c r="P181" s="309"/>
      <c r="Y181" s="168"/>
    </row>
    <row r="182" ht="16.5" hidden="1" customHeight="1" outlineLevel="3" spans="2:25">
      <c r="B182" s="470" t="s">
        <v>1883</v>
      </c>
      <c r="C182" s="473" t="s">
        <v>622</v>
      </c>
      <c r="D182" s="508" t="s">
        <v>1884</v>
      </c>
      <c r="E182" s="479" t="s">
        <v>993</v>
      </c>
      <c r="F182" s="479" t="s">
        <v>601</v>
      </c>
      <c r="G182" s="292">
        <v>1</v>
      </c>
      <c r="H182" s="292" t="s">
        <v>1668</v>
      </c>
      <c r="I182" s="475">
        <v>1328</v>
      </c>
      <c r="J182" s="475">
        <v>60</v>
      </c>
      <c r="K182" s="517">
        <v>0.11</v>
      </c>
      <c r="L182" s="477">
        <v>7.968</v>
      </c>
      <c r="M182" s="477">
        <v>0.87648</v>
      </c>
      <c r="N182" s="498">
        <v>8.84448</v>
      </c>
      <c r="O182" s="499">
        <v>0.472461538461538</v>
      </c>
      <c r="P182" s="523"/>
      <c r="Y182" s="168"/>
    </row>
    <row r="183" ht="16.5" hidden="1" customHeight="1" outlineLevel="3" spans="2:25">
      <c r="B183" s="470" t="s">
        <v>1885</v>
      </c>
      <c r="C183" s="473" t="s">
        <v>622</v>
      </c>
      <c r="D183" s="508" t="s">
        <v>1886</v>
      </c>
      <c r="E183" s="479" t="s">
        <v>1392</v>
      </c>
      <c r="F183" s="479" t="s">
        <v>601</v>
      </c>
      <c r="G183" s="525">
        <v>1</v>
      </c>
      <c r="H183" s="292" t="s">
        <v>655</v>
      </c>
      <c r="I183" s="475">
        <v>187200</v>
      </c>
      <c r="J183" s="475">
        <v>12.61</v>
      </c>
      <c r="K183" s="517">
        <v>0.11</v>
      </c>
      <c r="L183" s="477">
        <v>236.0592</v>
      </c>
      <c r="M183" s="477">
        <v>25.966512</v>
      </c>
      <c r="N183" s="498">
        <v>262.025712</v>
      </c>
      <c r="O183" s="499">
        <v>13.9971</v>
      </c>
      <c r="P183" s="523"/>
      <c r="Y183" s="168"/>
    </row>
    <row r="184" ht="16.5" hidden="1" customHeight="1" outlineLevel="3" spans="2:25">
      <c r="B184" s="470" t="s">
        <v>1887</v>
      </c>
      <c r="C184" s="473" t="s">
        <v>622</v>
      </c>
      <c r="D184" s="508" t="s">
        <v>1888</v>
      </c>
      <c r="E184" s="479" t="s">
        <v>1393</v>
      </c>
      <c r="F184" s="479" t="s">
        <v>601</v>
      </c>
      <c r="G184" s="525">
        <v>1</v>
      </c>
      <c r="H184" s="292" t="s">
        <v>655</v>
      </c>
      <c r="I184" s="475">
        <v>187200</v>
      </c>
      <c r="J184" s="475">
        <v>17.12</v>
      </c>
      <c r="K184" s="517">
        <v>0.11</v>
      </c>
      <c r="L184" s="477">
        <v>320.4864</v>
      </c>
      <c r="M184" s="477">
        <v>35.253504</v>
      </c>
      <c r="N184" s="498">
        <v>355.739904</v>
      </c>
      <c r="O184" s="499">
        <v>19.0032</v>
      </c>
      <c r="P184" s="309"/>
      <c r="Y184" s="168"/>
    </row>
    <row r="185" ht="16.5" customHeight="1" outlineLevel="3" spans="2:25">
      <c r="B185" s="470" t="s">
        <v>1889</v>
      </c>
      <c r="C185" s="473" t="s">
        <v>622</v>
      </c>
      <c r="D185" s="508" t="s">
        <v>1890</v>
      </c>
      <c r="E185" s="290"/>
      <c r="F185" s="290"/>
      <c r="G185" s="532"/>
      <c r="H185" s="292"/>
      <c r="I185" s="475"/>
      <c r="J185" s="475">
        <v>0</v>
      </c>
      <c r="K185" s="517">
        <v>0.11</v>
      </c>
      <c r="L185" s="477">
        <v>0</v>
      </c>
      <c r="M185" s="477">
        <v>0</v>
      </c>
      <c r="N185" s="498">
        <v>0</v>
      </c>
      <c r="O185" s="499">
        <v>0</v>
      </c>
      <c r="P185" s="309"/>
      <c r="Y185" s="168"/>
    </row>
    <row r="186" ht="16.5" hidden="1" customHeight="1" outlineLevel="3" spans="2:25">
      <c r="B186" s="470" t="s">
        <v>1891</v>
      </c>
      <c r="C186" s="473" t="s">
        <v>622</v>
      </c>
      <c r="D186" s="508" t="s">
        <v>1892</v>
      </c>
      <c r="E186" s="479" t="s">
        <v>993</v>
      </c>
      <c r="F186" s="479" t="s">
        <v>601</v>
      </c>
      <c r="G186" s="525">
        <v>1</v>
      </c>
      <c r="H186" s="292" t="s">
        <v>1668</v>
      </c>
      <c r="I186" s="475">
        <v>1328</v>
      </c>
      <c r="J186" s="475">
        <v>240</v>
      </c>
      <c r="K186" s="517">
        <v>0.11</v>
      </c>
      <c r="L186" s="477">
        <v>31.872</v>
      </c>
      <c r="M186" s="477">
        <v>3.50592</v>
      </c>
      <c r="N186" s="498">
        <v>35.37792</v>
      </c>
      <c r="O186" s="499">
        <v>1.88984615384615</v>
      </c>
      <c r="P186" s="309"/>
      <c r="Y186" s="168"/>
    </row>
    <row r="187" ht="16.5" hidden="1" customHeight="1" outlineLevel="3" spans="2:25">
      <c r="B187" s="470" t="s">
        <v>1893</v>
      </c>
      <c r="C187" s="473" t="s">
        <v>622</v>
      </c>
      <c r="D187" s="508" t="s">
        <v>1894</v>
      </c>
      <c r="E187" s="479" t="s">
        <v>1394</v>
      </c>
      <c r="F187" s="479" t="s">
        <v>601</v>
      </c>
      <c r="G187" s="525">
        <v>1</v>
      </c>
      <c r="H187" s="292" t="s">
        <v>1668</v>
      </c>
      <c r="I187" s="475">
        <v>1328</v>
      </c>
      <c r="J187" s="560">
        <v>510</v>
      </c>
      <c r="K187" s="517">
        <v>0.17</v>
      </c>
      <c r="L187" s="477">
        <v>67.728</v>
      </c>
      <c r="M187" s="477">
        <v>11.51376</v>
      </c>
      <c r="N187" s="498">
        <v>79.24176</v>
      </c>
      <c r="O187" s="499">
        <v>4.233</v>
      </c>
      <c r="P187" s="309"/>
      <c r="Y187" s="168"/>
    </row>
    <row r="188" ht="16.5" customHeight="1" outlineLevel="3" spans="2:25">
      <c r="B188" s="470" t="s">
        <v>1895</v>
      </c>
      <c r="C188" s="473" t="s">
        <v>622</v>
      </c>
      <c r="D188" s="508" t="s">
        <v>1896</v>
      </c>
      <c r="E188" s="290" t="s">
        <v>1392</v>
      </c>
      <c r="F188" s="290"/>
      <c r="G188" s="532"/>
      <c r="H188" s="292"/>
      <c r="I188" s="475"/>
      <c r="J188" s="475">
        <v>0</v>
      </c>
      <c r="K188" s="517">
        <v>0.11</v>
      </c>
      <c r="L188" s="477">
        <v>0</v>
      </c>
      <c r="M188" s="477">
        <v>0</v>
      </c>
      <c r="N188" s="498">
        <v>0</v>
      </c>
      <c r="O188" s="499">
        <v>0</v>
      </c>
      <c r="P188" s="309"/>
      <c r="Y188" s="168"/>
    </row>
    <row r="189" ht="16.5" customHeight="1" outlineLevel="3" spans="1:25">
      <c r="A189" s="456"/>
      <c r="B189" s="470" t="s">
        <v>1897</v>
      </c>
      <c r="C189" s="473" t="s">
        <v>622</v>
      </c>
      <c r="D189" s="508" t="s">
        <v>1898</v>
      </c>
      <c r="E189" s="290"/>
      <c r="F189" s="290"/>
      <c r="G189" s="532"/>
      <c r="H189" s="292"/>
      <c r="I189" s="475"/>
      <c r="J189" s="475">
        <v>0</v>
      </c>
      <c r="K189" s="517">
        <v>0.11</v>
      </c>
      <c r="L189" s="477">
        <v>0</v>
      </c>
      <c r="M189" s="477">
        <v>0</v>
      </c>
      <c r="N189" s="498">
        <v>0</v>
      </c>
      <c r="O189" s="499">
        <v>0</v>
      </c>
      <c r="P189" s="309"/>
      <c r="Y189" s="168"/>
    </row>
    <row r="190" s="457" customFormat="1" ht="16.5" customHeight="1" outlineLevel="2" spans="1:16">
      <c r="A190" s="456"/>
      <c r="B190" s="470" t="s">
        <v>1899</v>
      </c>
      <c r="C190" s="471" t="s">
        <v>657</v>
      </c>
      <c r="D190" s="508" t="s">
        <v>1900</v>
      </c>
      <c r="E190" s="366"/>
      <c r="F190" s="366"/>
      <c r="G190" s="366"/>
      <c r="H190" s="313"/>
      <c r="I190" s="518"/>
      <c r="J190" s="518">
        <v>0</v>
      </c>
      <c r="K190" s="537">
        <v>0.11</v>
      </c>
      <c r="L190" s="477">
        <v>0</v>
      </c>
      <c r="M190" s="477">
        <v>0</v>
      </c>
      <c r="N190" s="498">
        <v>0</v>
      </c>
      <c r="O190" s="499">
        <v>0</v>
      </c>
      <c r="P190" s="309"/>
    </row>
    <row r="191" s="457" customFormat="1" ht="16.5" customHeight="1" outlineLevel="2" spans="1:16">
      <c r="A191" s="456"/>
      <c r="B191" s="470" t="s">
        <v>1901</v>
      </c>
      <c r="C191" s="471" t="s">
        <v>762</v>
      </c>
      <c r="D191" s="508" t="s">
        <v>1902</v>
      </c>
      <c r="E191" s="366"/>
      <c r="F191" s="366"/>
      <c r="G191" s="366"/>
      <c r="H191" s="313"/>
      <c r="I191" s="518"/>
      <c r="J191" s="518">
        <v>0</v>
      </c>
      <c r="K191" s="537">
        <v>0.11</v>
      </c>
      <c r="L191" s="477">
        <v>0</v>
      </c>
      <c r="M191" s="477">
        <v>0</v>
      </c>
      <c r="N191" s="498">
        <v>0</v>
      </c>
      <c r="O191" s="499">
        <v>0</v>
      </c>
      <c r="P191" s="309"/>
    </row>
    <row r="192" ht="16.5" hidden="1" customHeight="1" outlineLevel="1" collapsed="1" spans="2:25">
      <c r="B192" s="121" t="s">
        <v>555</v>
      </c>
      <c r="C192" s="121">
        <v>4</v>
      </c>
      <c r="D192" s="121" t="s">
        <v>556</v>
      </c>
      <c r="E192" s="193"/>
      <c r="F192" s="193"/>
      <c r="G192" s="193"/>
      <c r="H192" s="155"/>
      <c r="I192" s="492"/>
      <c r="J192" s="492"/>
      <c r="K192" s="521"/>
      <c r="L192" s="155">
        <v>305.28</v>
      </c>
      <c r="M192" s="155">
        <v>33.5808</v>
      </c>
      <c r="N192" s="155">
        <v>338.8608</v>
      </c>
      <c r="O192" s="495">
        <v>18.1015384615385</v>
      </c>
      <c r="P192" s="233"/>
      <c r="Y192" s="168"/>
    </row>
    <row r="193" ht="16.5" hidden="1" customHeight="1" outlineLevel="2" spans="2:25">
      <c r="B193" s="470" t="s">
        <v>1903</v>
      </c>
      <c r="C193" s="471" t="s">
        <v>619</v>
      </c>
      <c r="D193" s="508" t="s">
        <v>1904</v>
      </c>
      <c r="E193" s="479" t="s">
        <v>1396</v>
      </c>
      <c r="F193" s="479" t="s">
        <v>601</v>
      </c>
      <c r="G193" s="525">
        <v>1</v>
      </c>
      <c r="H193" s="292" t="s">
        <v>1681</v>
      </c>
      <c r="I193" s="475">
        <v>1328</v>
      </c>
      <c r="J193" s="475">
        <v>1350</v>
      </c>
      <c r="K193" s="517">
        <v>0.11</v>
      </c>
      <c r="L193" s="477">
        <v>179.28</v>
      </c>
      <c r="M193" s="477">
        <v>19.7208</v>
      </c>
      <c r="N193" s="498">
        <v>199.0008</v>
      </c>
      <c r="O193" s="499">
        <v>10.6303846153846</v>
      </c>
      <c r="P193" s="309"/>
      <c r="Y193" s="168"/>
    </row>
    <row r="194" ht="16.5" hidden="1" customHeight="1" outlineLevel="2" spans="2:25">
      <c r="B194" s="470" t="s">
        <v>1905</v>
      </c>
      <c r="C194" s="471" t="s">
        <v>657</v>
      </c>
      <c r="D194" s="508" t="s">
        <v>1906</v>
      </c>
      <c r="E194" s="290"/>
      <c r="F194" s="290"/>
      <c r="G194" s="365">
        <v>1</v>
      </c>
      <c r="H194" s="292" t="s">
        <v>995</v>
      </c>
      <c r="I194" s="475">
        <v>360</v>
      </c>
      <c r="J194" s="475">
        <v>3500</v>
      </c>
      <c r="K194" s="517">
        <v>0.11</v>
      </c>
      <c r="L194" s="477">
        <v>126</v>
      </c>
      <c r="M194" s="477">
        <v>13.86</v>
      </c>
      <c r="N194" s="498">
        <v>139.86</v>
      </c>
      <c r="O194" s="499">
        <v>7.47115384615385</v>
      </c>
      <c r="P194" s="309"/>
      <c r="Y194" s="168"/>
    </row>
    <row r="195" ht="16.5" customHeight="1" outlineLevel="2" spans="2:25">
      <c r="B195" s="470" t="s">
        <v>1907</v>
      </c>
      <c r="C195" s="471" t="s">
        <v>762</v>
      </c>
      <c r="D195" s="508" t="s">
        <v>1908</v>
      </c>
      <c r="E195" s="290"/>
      <c r="F195" s="290"/>
      <c r="G195" s="292"/>
      <c r="H195" s="292"/>
      <c r="I195" s="475"/>
      <c r="J195" s="475">
        <v>0</v>
      </c>
      <c r="K195" s="517">
        <v>0.11</v>
      </c>
      <c r="L195" s="477">
        <v>0</v>
      </c>
      <c r="M195" s="477">
        <v>0</v>
      </c>
      <c r="N195" s="498">
        <v>0</v>
      </c>
      <c r="O195" s="499">
        <v>0</v>
      </c>
      <c r="P195" s="309"/>
      <c r="Y195" s="168"/>
    </row>
    <row r="196" ht="16.5" customHeight="1" outlineLevel="2" spans="2:25">
      <c r="B196" s="470" t="s">
        <v>1909</v>
      </c>
      <c r="C196" s="471" t="s">
        <v>778</v>
      </c>
      <c r="D196" s="508" t="s">
        <v>1910</v>
      </c>
      <c r="E196" s="290"/>
      <c r="F196" s="290"/>
      <c r="G196" s="292"/>
      <c r="H196" s="292"/>
      <c r="I196" s="475"/>
      <c r="J196" s="475">
        <v>0</v>
      </c>
      <c r="K196" s="517">
        <v>0.11</v>
      </c>
      <c r="L196" s="477">
        <v>0</v>
      </c>
      <c r="M196" s="477">
        <v>0</v>
      </c>
      <c r="N196" s="498">
        <v>0</v>
      </c>
      <c r="O196" s="499">
        <v>0</v>
      </c>
      <c r="P196" s="309"/>
      <c r="Y196" s="168"/>
    </row>
    <row r="197" ht="16.5" customHeight="1" outlineLevel="2" spans="2:25">
      <c r="B197" s="470" t="s">
        <v>1911</v>
      </c>
      <c r="C197" s="471" t="s">
        <v>781</v>
      </c>
      <c r="D197" s="508" t="s">
        <v>1912</v>
      </c>
      <c r="E197" s="290" t="s">
        <v>1395</v>
      </c>
      <c r="F197" s="290"/>
      <c r="G197" s="292"/>
      <c r="H197" s="292"/>
      <c r="I197" s="475"/>
      <c r="J197" s="475">
        <v>0</v>
      </c>
      <c r="K197" s="517">
        <v>0.11</v>
      </c>
      <c r="L197" s="477">
        <v>0</v>
      </c>
      <c r="M197" s="477">
        <v>0</v>
      </c>
      <c r="N197" s="498">
        <v>0</v>
      </c>
      <c r="O197" s="499">
        <v>0</v>
      </c>
      <c r="P197" s="309"/>
      <c r="Y197" s="168"/>
    </row>
    <row r="198" ht="16.5" customHeight="1" outlineLevel="2" spans="2:25">
      <c r="B198" s="470" t="s">
        <v>1913</v>
      </c>
      <c r="C198" s="471" t="s">
        <v>788</v>
      </c>
      <c r="D198" s="508" t="s">
        <v>1914</v>
      </c>
      <c r="E198" s="290" t="s">
        <v>1395</v>
      </c>
      <c r="F198" s="290"/>
      <c r="G198" s="292"/>
      <c r="H198" s="292"/>
      <c r="I198" s="475"/>
      <c r="J198" s="475">
        <v>0</v>
      </c>
      <c r="K198" s="517">
        <v>0.11</v>
      </c>
      <c r="L198" s="477">
        <v>0</v>
      </c>
      <c r="M198" s="477">
        <v>0</v>
      </c>
      <c r="N198" s="498">
        <v>0</v>
      </c>
      <c r="O198" s="499">
        <v>0</v>
      </c>
      <c r="P198" s="309"/>
      <c r="Y198" s="168"/>
    </row>
    <row r="199" ht="16.5" customHeight="1" outlineLevel="2" spans="2:25">
      <c r="B199" s="470" t="s">
        <v>1915</v>
      </c>
      <c r="C199" s="471" t="s">
        <v>791</v>
      </c>
      <c r="D199" s="508" t="s">
        <v>1916</v>
      </c>
      <c r="E199" s="290" t="s">
        <v>1395</v>
      </c>
      <c r="F199" s="290"/>
      <c r="G199" s="292"/>
      <c r="H199" s="292"/>
      <c r="I199" s="475"/>
      <c r="J199" s="475"/>
      <c r="K199" s="517">
        <v>0.11</v>
      </c>
      <c r="L199" s="477">
        <v>0</v>
      </c>
      <c r="M199" s="477">
        <v>0</v>
      </c>
      <c r="N199" s="498">
        <v>0</v>
      </c>
      <c r="O199" s="499">
        <v>0</v>
      </c>
      <c r="P199" s="309"/>
      <c r="Y199" s="168"/>
    </row>
    <row r="200" ht="16.5" customHeight="1" outlineLevel="2" spans="2:25">
      <c r="B200" s="470" t="s">
        <v>1917</v>
      </c>
      <c r="C200" s="471" t="s">
        <v>794</v>
      </c>
      <c r="D200" s="508" t="s">
        <v>1700</v>
      </c>
      <c r="E200" s="290" t="s">
        <v>1395</v>
      </c>
      <c r="F200" s="290"/>
      <c r="G200" s="292"/>
      <c r="H200" s="292"/>
      <c r="I200" s="475"/>
      <c r="J200" s="475">
        <v>0</v>
      </c>
      <c r="K200" s="517">
        <v>0.11</v>
      </c>
      <c r="L200" s="477">
        <v>0</v>
      </c>
      <c r="M200" s="477">
        <v>0</v>
      </c>
      <c r="N200" s="498">
        <v>0</v>
      </c>
      <c r="O200" s="499">
        <v>0</v>
      </c>
      <c r="P200" s="309"/>
      <c r="Y200" s="168"/>
    </row>
    <row r="201" ht="16.5" customHeight="1" outlineLevel="2" spans="2:25">
      <c r="B201" s="470" t="s">
        <v>1918</v>
      </c>
      <c r="C201" s="471" t="s">
        <v>797</v>
      </c>
      <c r="D201" s="508" t="s">
        <v>1919</v>
      </c>
      <c r="E201" s="290" t="s">
        <v>1395</v>
      </c>
      <c r="F201" s="290"/>
      <c r="G201" s="292"/>
      <c r="H201" s="292"/>
      <c r="I201" s="475"/>
      <c r="J201" s="475">
        <v>0</v>
      </c>
      <c r="K201" s="517">
        <v>0.11</v>
      </c>
      <c r="L201" s="477">
        <v>0</v>
      </c>
      <c r="M201" s="477">
        <v>0</v>
      </c>
      <c r="N201" s="498">
        <v>0</v>
      </c>
      <c r="O201" s="499">
        <v>0</v>
      </c>
      <c r="P201" s="309"/>
      <c r="Y201" s="168"/>
    </row>
    <row r="202" ht="16.5" customHeight="1" outlineLevel="2" spans="2:25">
      <c r="B202" s="470" t="s">
        <v>1920</v>
      </c>
      <c r="C202" s="471" t="s">
        <v>1519</v>
      </c>
      <c r="D202" s="508" t="s">
        <v>1921</v>
      </c>
      <c r="E202" s="290" t="s">
        <v>1395</v>
      </c>
      <c r="F202" s="290"/>
      <c r="G202" s="292"/>
      <c r="H202" s="292" t="s">
        <v>827</v>
      </c>
      <c r="I202" s="475">
        <v>1872</v>
      </c>
      <c r="J202" s="475">
        <v>1700</v>
      </c>
      <c r="K202" s="517">
        <v>0.11</v>
      </c>
      <c r="L202" s="477">
        <v>0</v>
      </c>
      <c r="M202" s="477">
        <v>0</v>
      </c>
      <c r="N202" s="498">
        <v>0</v>
      </c>
      <c r="O202" s="499">
        <v>0</v>
      </c>
      <c r="P202" s="309"/>
      <c r="Y202" s="168"/>
    </row>
    <row r="203" ht="16.5" customHeight="1" outlineLevel="2" spans="2:25">
      <c r="B203" s="470" t="s">
        <v>1922</v>
      </c>
      <c r="C203" s="471" t="s">
        <v>1520</v>
      </c>
      <c r="D203" s="508" t="s">
        <v>1923</v>
      </c>
      <c r="E203" s="290"/>
      <c r="F203" s="290"/>
      <c r="G203" s="292"/>
      <c r="H203" s="292"/>
      <c r="I203" s="475"/>
      <c r="J203" s="475">
        <v>0</v>
      </c>
      <c r="K203" s="517">
        <v>0.11</v>
      </c>
      <c r="L203" s="477">
        <v>0</v>
      </c>
      <c r="M203" s="477">
        <v>0</v>
      </c>
      <c r="N203" s="498">
        <v>0</v>
      </c>
      <c r="O203" s="499">
        <v>0</v>
      </c>
      <c r="P203" s="309"/>
      <c r="Y203" s="168"/>
    </row>
    <row r="204" ht="15.75" hidden="1" collapsed="1" spans="3:25">
      <c r="C204" s="168"/>
      <c r="G204" s="168"/>
      <c r="H204" s="168"/>
      <c r="I204" s="168"/>
      <c r="J204" s="168"/>
      <c r="K204" s="168"/>
      <c r="M204" s="166" t="s">
        <v>2</v>
      </c>
      <c r="N204" s="459">
        <v>57987.3810904</v>
      </c>
      <c r="Y204" s="168"/>
    </row>
    <row r="205" hidden="1" spans="3:25">
      <c r="C205" s="168"/>
      <c r="G205" s="168"/>
      <c r="H205" s="168"/>
      <c r="I205" s="168"/>
      <c r="J205" s="168"/>
      <c r="K205" s="168"/>
      <c r="L205" s="538"/>
      <c r="M205" s="538"/>
      <c r="N205" s="564"/>
      <c r="X205" s="540">
        <v>0</v>
      </c>
      <c r="Y205" s="168"/>
    </row>
  </sheetData>
  <autoFilter ref="A3:Y205">
    <filterColumn colId="14">
      <customFilters>
        <customFilter operator="equal" val="0.00"/>
      </customFilters>
    </filterColumn>
  </autoFilter>
  <conditionalFormatting sqref="B4:C4">
    <cfRule type="duplicateValues" dxfId="112" priority="165"/>
  </conditionalFormatting>
  <conditionalFormatting sqref="B5:C5">
    <cfRule type="duplicateValues" dxfId="113" priority="164"/>
  </conditionalFormatting>
  <conditionalFormatting sqref="D6">
    <cfRule type="duplicateValues" dxfId="114" priority="169"/>
  </conditionalFormatting>
  <conditionalFormatting sqref="I6">
    <cfRule type="cellIs" dxfId="115" priority="116" operator="equal">
      <formula>0</formula>
    </cfRule>
    <cfRule type="cellIs" priority="115" operator="equal">
      <formula>0</formula>
    </cfRule>
  </conditionalFormatting>
  <conditionalFormatting sqref="I10">
    <cfRule type="cellIs" dxfId="116" priority="114" operator="equal">
      <formula>0</formula>
    </cfRule>
    <cfRule type="cellIs" priority="113" operator="equal">
      <formula>0</formula>
    </cfRule>
  </conditionalFormatting>
  <conditionalFormatting sqref="D21">
    <cfRule type="duplicateValues" dxfId="117" priority="101"/>
  </conditionalFormatting>
  <conditionalFormatting sqref="I21">
    <cfRule type="cellIs" dxfId="118" priority="98" operator="equal">
      <formula>0</formula>
    </cfRule>
    <cfRule type="cellIs" priority="97" operator="equal">
      <formula>0</formula>
    </cfRule>
  </conditionalFormatting>
  <conditionalFormatting sqref="K21">
    <cfRule type="cellIs" dxfId="119" priority="100" operator="equal">
      <formula>0</formula>
    </cfRule>
    <cfRule type="cellIs" priority="99" operator="equal">
      <formula>0</formula>
    </cfRule>
  </conditionalFormatting>
  <conditionalFormatting sqref="D22">
    <cfRule type="duplicateValues" dxfId="120" priority="106"/>
  </conditionalFormatting>
  <conditionalFormatting sqref="I22">
    <cfRule type="cellIs" dxfId="121" priority="103" operator="equal">
      <formula>0</formula>
    </cfRule>
    <cfRule type="cellIs" priority="102" operator="equal">
      <formula>0</formula>
    </cfRule>
  </conditionalFormatting>
  <conditionalFormatting sqref="K22">
    <cfRule type="cellIs" dxfId="122" priority="105" operator="equal">
      <formula>0</formula>
    </cfRule>
    <cfRule type="cellIs" priority="104" operator="equal">
      <formula>0</formula>
    </cfRule>
  </conditionalFormatting>
  <conditionalFormatting sqref="I43">
    <cfRule type="cellIs" dxfId="123" priority="162" operator="equal">
      <formula>0</formula>
    </cfRule>
    <cfRule type="cellIs" priority="161" operator="equal">
      <formula>0</formula>
    </cfRule>
  </conditionalFormatting>
  <conditionalFormatting sqref="I49">
    <cfRule type="cellIs" dxfId="124" priority="160" operator="equal">
      <formula>0</formula>
    </cfRule>
    <cfRule type="cellIs" priority="159" operator="equal">
      <formula>0</formula>
    </cfRule>
  </conditionalFormatting>
  <conditionalFormatting sqref="I53">
    <cfRule type="cellIs" dxfId="125" priority="158" operator="equal">
      <formula>0</formula>
    </cfRule>
    <cfRule type="cellIs" priority="157" operator="equal">
      <formula>0</formula>
    </cfRule>
  </conditionalFormatting>
  <conditionalFormatting sqref="I58">
    <cfRule type="cellIs" dxfId="126" priority="156" operator="equal">
      <formula>0</formula>
    </cfRule>
    <cfRule type="cellIs" priority="155" operator="equal">
      <formula>0</formula>
    </cfRule>
  </conditionalFormatting>
  <conditionalFormatting sqref="I60">
    <cfRule type="cellIs" dxfId="127" priority="132" operator="equal">
      <formula>0</formula>
    </cfRule>
    <cfRule type="cellIs" priority="131" operator="equal">
      <formula>0</formula>
    </cfRule>
  </conditionalFormatting>
  <conditionalFormatting sqref="I63">
    <cfRule type="cellIs" dxfId="128" priority="152" operator="equal">
      <formula>0</formula>
    </cfRule>
    <cfRule type="cellIs" priority="151" operator="equal">
      <formula>0</formula>
    </cfRule>
  </conditionalFormatting>
  <conditionalFormatting sqref="I64">
    <cfRule type="cellIs" dxfId="129" priority="130" operator="equal">
      <formula>0</formula>
    </cfRule>
    <cfRule type="cellIs" priority="129" operator="equal">
      <formula>0</formula>
    </cfRule>
  </conditionalFormatting>
  <conditionalFormatting sqref="I65">
    <cfRule type="cellIs" dxfId="130" priority="128" operator="equal">
      <formula>0</formula>
    </cfRule>
    <cfRule type="cellIs" priority="127" operator="equal">
      <formula>0</formula>
    </cfRule>
  </conditionalFormatting>
  <conditionalFormatting sqref="B66:C66">
    <cfRule type="duplicateValues" dxfId="131" priority="163"/>
  </conditionalFormatting>
  <conditionalFormatting sqref="I68">
    <cfRule type="cellIs" dxfId="132" priority="126" operator="equal">
      <formula>0</formula>
    </cfRule>
    <cfRule type="cellIs" priority="125" operator="equal">
      <formula>0</formula>
    </cfRule>
  </conditionalFormatting>
  <conditionalFormatting sqref="I76">
    <cfRule type="cellIs" dxfId="133" priority="124" operator="equal">
      <formula>0</formula>
    </cfRule>
    <cfRule type="cellIs" priority="123" operator="equal">
      <formula>0</formula>
    </cfRule>
  </conditionalFormatting>
  <conditionalFormatting sqref="I81">
    <cfRule type="cellIs" dxfId="134" priority="122" operator="equal">
      <formula>0</formula>
    </cfRule>
    <cfRule type="cellIs" priority="121" operator="equal">
      <formula>0</formula>
    </cfRule>
  </conditionalFormatting>
  <conditionalFormatting sqref="I86">
    <cfRule type="cellIs" dxfId="135" priority="150" operator="equal">
      <formula>0</formula>
    </cfRule>
    <cfRule type="cellIs" priority="149" operator="equal">
      <formula>0</formula>
    </cfRule>
  </conditionalFormatting>
  <conditionalFormatting sqref="I87">
    <cfRule type="cellIs" dxfId="136" priority="120" operator="equal">
      <formula>0</formula>
    </cfRule>
    <cfRule type="cellIs" priority="119" operator="equal">
      <formula>0</formula>
    </cfRule>
  </conditionalFormatting>
  <conditionalFormatting sqref="I88">
    <cfRule type="cellIs" dxfId="137" priority="118" operator="equal">
      <formula>0</formula>
    </cfRule>
    <cfRule type="cellIs" priority="117" operator="equal">
      <formula>0</formula>
    </cfRule>
  </conditionalFormatting>
  <conditionalFormatting sqref="B92:C92">
    <cfRule type="duplicateValues" dxfId="138" priority="265"/>
  </conditionalFormatting>
  <conditionalFormatting sqref="B93:C93">
    <cfRule type="duplicateValues" dxfId="139" priority="264"/>
  </conditionalFormatting>
  <conditionalFormatting sqref="J94">
    <cfRule type="cellIs" dxfId="140" priority="46" operator="equal">
      <formula>0</formula>
    </cfRule>
    <cfRule type="cellIs" priority="45" operator="equal">
      <formula>0</formula>
    </cfRule>
  </conditionalFormatting>
  <conditionalFormatting sqref="M94">
    <cfRule type="cellIs" dxfId="141" priority="254" operator="equal">
      <formula>0</formula>
    </cfRule>
    <cfRule type="cellIs" priority="253" operator="equal">
      <formula>0</formula>
    </cfRule>
  </conditionalFormatting>
  <conditionalFormatting sqref="J95">
    <cfRule type="cellIs" dxfId="142" priority="44" operator="equal">
      <formula>0</formula>
    </cfRule>
    <cfRule type="cellIs" priority="43" operator="equal">
      <formula>0</formula>
    </cfRule>
  </conditionalFormatting>
  <conditionalFormatting sqref="J96">
    <cfRule type="cellIs" dxfId="143" priority="42" operator="equal">
      <formula>0</formula>
    </cfRule>
    <cfRule type="cellIs" priority="41" operator="equal">
      <formula>0</formula>
    </cfRule>
  </conditionalFormatting>
  <conditionalFormatting sqref="J97">
    <cfRule type="cellIs" dxfId="144" priority="22" operator="equal">
      <formula>0</formula>
    </cfRule>
    <cfRule type="cellIs" priority="21" operator="equal">
      <formula>0</formula>
    </cfRule>
  </conditionalFormatting>
  <conditionalFormatting sqref="J98">
    <cfRule type="cellIs" dxfId="145" priority="40" operator="equal">
      <formula>0</formula>
    </cfRule>
    <cfRule type="cellIs" priority="39" operator="equal">
      <formula>0</formula>
    </cfRule>
  </conditionalFormatting>
  <conditionalFormatting sqref="J99">
    <cfRule type="cellIs" dxfId="146" priority="48" operator="equal">
      <formula>0</formula>
    </cfRule>
    <cfRule type="cellIs" priority="47" operator="equal">
      <formula>0</formula>
    </cfRule>
  </conditionalFormatting>
  <conditionalFormatting sqref="J100">
    <cfRule type="cellIs" dxfId="147" priority="38" operator="equal">
      <formula>0</formula>
    </cfRule>
    <cfRule type="cellIs" priority="37" operator="equal">
      <formula>0</formula>
    </cfRule>
  </conditionalFormatting>
  <conditionalFormatting sqref="J101">
    <cfRule type="cellIs" dxfId="148" priority="36" operator="equal">
      <formula>0</formula>
    </cfRule>
    <cfRule type="cellIs" priority="35" operator="equal">
      <formula>0</formula>
    </cfRule>
  </conditionalFormatting>
  <conditionalFormatting sqref="J102">
    <cfRule type="cellIs" dxfId="149" priority="24" operator="equal">
      <formula>0</formula>
    </cfRule>
    <cfRule type="cellIs" priority="23" operator="equal">
      <formula>0</formula>
    </cfRule>
  </conditionalFormatting>
  <conditionalFormatting sqref="J103">
    <cfRule type="cellIs" dxfId="150" priority="30" operator="equal">
      <formula>0</formula>
    </cfRule>
    <cfRule type="cellIs" priority="29" operator="equal">
      <formula>0</formula>
    </cfRule>
  </conditionalFormatting>
  <conditionalFormatting sqref="J104">
    <cfRule type="cellIs" dxfId="151" priority="34" operator="equal">
      <formula>0</formula>
    </cfRule>
    <cfRule type="cellIs" priority="33" operator="equal">
      <formula>0</formula>
    </cfRule>
  </conditionalFormatting>
  <conditionalFormatting sqref="J105">
    <cfRule type="cellIs" dxfId="152" priority="28" operator="equal">
      <formula>0</formula>
    </cfRule>
    <cfRule type="cellIs" priority="27" operator="equal">
      <formula>0</formula>
    </cfRule>
  </conditionalFormatting>
  <conditionalFormatting sqref="J106">
    <cfRule type="cellIs" dxfId="153" priority="32" operator="equal">
      <formula>0</formula>
    </cfRule>
    <cfRule type="cellIs" priority="31" operator="equal">
      <formula>0</formula>
    </cfRule>
  </conditionalFormatting>
  <conditionalFormatting sqref="J107">
    <cfRule type="cellIs" dxfId="154" priority="26" operator="equal">
      <formula>0</formula>
    </cfRule>
    <cfRule type="cellIs" priority="25" operator="equal">
      <formula>0</formula>
    </cfRule>
  </conditionalFormatting>
  <conditionalFormatting sqref="E108">
    <cfRule type="duplicateValues" dxfId="155" priority="190"/>
  </conditionalFormatting>
  <conditionalFormatting sqref="E109">
    <cfRule type="duplicateValues" dxfId="156" priority="189"/>
  </conditionalFormatting>
  <conditionalFormatting sqref="B110:C110">
    <cfRule type="duplicateValues" dxfId="157" priority="263"/>
  </conditionalFormatting>
  <conditionalFormatting sqref="E115">
    <cfRule type="duplicateValues" dxfId="158" priority="178"/>
  </conditionalFormatting>
  <conditionalFormatting sqref="I115">
    <cfRule type="cellIs" dxfId="159" priority="56" operator="equal">
      <formula>0</formula>
    </cfRule>
    <cfRule type="cellIs" priority="55" operator="equal">
      <formula>0</formula>
    </cfRule>
  </conditionalFormatting>
  <conditionalFormatting sqref="J115">
    <cfRule type="cellIs" dxfId="160" priority="58" operator="equal">
      <formula>0</formula>
    </cfRule>
    <cfRule type="cellIs" priority="57" operator="equal">
      <formula>0</formula>
    </cfRule>
  </conditionalFormatting>
  <conditionalFormatting sqref="E116">
    <cfRule type="duplicateValues" dxfId="161" priority="179"/>
  </conditionalFormatting>
  <conditionalFormatting sqref="K117">
    <cfRule type="cellIs" dxfId="162" priority="173" operator="equal">
      <formula>0</formula>
    </cfRule>
    <cfRule type="cellIs" priority="172" operator="equal">
      <formula>0</formula>
    </cfRule>
  </conditionalFormatting>
  <conditionalFormatting sqref="B118:C118">
    <cfRule type="duplicateValues" dxfId="163" priority="261"/>
  </conditionalFormatting>
  <conditionalFormatting sqref="B119:C119">
    <cfRule type="duplicateValues" dxfId="164" priority="260"/>
  </conditionalFormatting>
  <conditionalFormatting sqref="J122">
    <cfRule type="cellIs" priority="7" operator="equal">
      <formula>0</formula>
    </cfRule>
    <cfRule type="cellIs" dxfId="165" priority="8" operator="equal">
      <formula>0</formula>
    </cfRule>
  </conditionalFormatting>
  <conditionalFormatting sqref="J125">
    <cfRule type="cellIs" priority="5" operator="equal">
      <formula>0</formula>
    </cfRule>
    <cfRule type="cellIs" dxfId="166" priority="6" operator="equal">
      <formula>0</formula>
    </cfRule>
  </conditionalFormatting>
  <conditionalFormatting sqref="I129">
    <cfRule type="cellIs" dxfId="167" priority="16" operator="equal">
      <formula>0</formula>
    </cfRule>
    <cfRule type="cellIs" priority="15" operator="equal">
      <formula>0</formula>
    </cfRule>
  </conditionalFormatting>
  <conditionalFormatting sqref="J129">
    <cfRule type="cellIs" priority="13" operator="equal">
      <formula>0</formula>
    </cfRule>
    <cfRule type="cellIs" dxfId="168" priority="14" operator="equal">
      <formula>0</formula>
    </cfRule>
  </conditionalFormatting>
  <conditionalFormatting sqref="I137">
    <cfRule type="cellIs" dxfId="169" priority="252" operator="equal">
      <formula>0</formula>
    </cfRule>
    <cfRule type="cellIs" priority="251" operator="equal">
      <formula>0</formula>
    </cfRule>
  </conditionalFormatting>
  <conditionalFormatting sqref="J137">
    <cfRule type="cellIs" dxfId="170" priority="12" operator="equal">
      <formula>0</formula>
    </cfRule>
    <cfRule type="cellIs" priority="11" operator="equal">
      <formula>0</formula>
    </cfRule>
  </conditionalFormatting>
  <conditionalFormatting sqref="I139">
    <cfRule type="cellIs" dxfId="171" priority="250" operator="equal">
      <formula>0</formula>
    </cfRule>
    <cfRule type="cellIs" priority="249" operator="equal">
      <formula>0</formula>
    </cfRule>
  </conditionalFormatting>
  <conditionalFormatting sqref="I140">
    <cfRule type="cellIs" dxfId="172" priority="248" operator="equal">
      <formula>0</formula>
    </cfRule>
    <cfRule type="cellIs" priority="247" operator="equal">
      <formula>0</formula>
    </cfRule>
  </conditionalFormatting>
  <conditionalFormatting sqref="I141">
    <cfRule type="cellIs" dxfId="173" priority="246" operator="equal">
      <formula>0</formula>
    </cfRule>
    <cfRule type="cellIs" priority="245" operator="equal">
      <formula>0</formula>
    </cfRule>
  </conditionalFormatting>
  <conditionalFormatting sqref="I145">
    <cfRule type="cellIs" dxfId="174" priority="240" operator="equal">
      <formula>0</formula>
    </cfRule>
    <cfRule type="cellIs" priority="239" operator="equal">
      <formula>0</formula>
    </cfRule>
  </conditionalFormatting>
  <conditionalFormatting sqref="I146">
    <cfRule type="cellIs" dxfId="175" priority="222" operator="equal">
      <formula>0</formula>
    </cfRule>
    <cfRule type="cellIs" priority="221" operator="equal">
      <formula>0</formula>
    </cfRule>
  </conditionalFormatting>
  <conditionalFormatting sqref="K149">
    <cfRule type="cellIs" dxfId="176" priority="50" operator="equal">
      <formula>0</formula>
    </cfRule>
    <cfRule type="cellIs" priority="49" operator="equal">
      <formula>0</formula>
    </cfRule>
  </conditionalFormatting>
  <conditionalFormatting sqref="I151">
    <cfRule type="cellIs" dxfId="177" priority="220" operator="equal">
      <formula>0</formula>
    </cfRule>
    <cfRule type="cellIs" priority="219" operator="equal">
      <formula>0</formula>
    </cfRule>
  </conditionalFormatting>
  <conditionalFormatting sqref="J152">
    <cfRule type="cellIs" dxfId="178" priority="4" operator="equal">
      <formula>0</formula>
    </cfRule>
    <cfRule type="cellIs" priority="3" operator="equal">
      <formula>0</formula>
    </cfRule>
  </conditionalFormatting>
  <conditionalFormatting sqref="I153">
    <cfRule type="cellIs" dxfId="179" priority="218" operator="equal">
      <formula>0</formula>
    </cfRule>
    <cfRule type="cellIs" priority="217" operator="equal">
      <formula>0</formula>
    </cfRule>
  </conditionalFormatting>
  <conditionalFormatting sqref="B154:C154">
    <cfRule type="duplicateValues" dxfId="180" priority="259"/>
  </conditionalFormatting>
  <conditionalFormatting sqref="D160">
    <cfRule type="duplicateValues" dxfId="181" priority="91"/>
  </conditionalFormatting>
  <conditionalFormatting sqref="I160:K160">
    <cfRule type="cellIs" dxfId="182" priority="90" operator="equal">
      <formula>0</formula>
    </cfRule>
    <cfRule type="cellIs" priority="89" operator="equal">
      <formula>0</formula>
    </cfRule>
  </conditionalFormatting>
  <conditionalFormatting sqref="I169">
    <cfRule type="cellIs" dxfId="183" priority="236" operator="equal">
      <formula>0</formula>
    </cfRule>
    <cfRule type="cellIs" priority="235" operator="equal">
      <formula>0</formula>
    </cfRule>
  </conditionalFormatting>
  <conditionalFormatting sqref="I170">
    <cfRule type="cellIs" dxfId="184" priority="216" operator="equal">
      <formula>0</formula>
    </cfRule>
    <cfRule type="cellIs" priority="215" operator="equal">
      <formula>0</formula>
    </cfRule>
  </conditionalFormatting>
  <conditionalFormatting sqref="J170">
    <cfRule type="cellIs" dxfId="185" priority="2" operator="equal">
      <formula>0</formula>
    </cfRule>
    <cfRule type="cellIs" priority="1" operator="equal">
      <formula>0</formula>
    </cfRule>
  </conditionalFormatting>
  <conditionalFormatting sqref="B180:C180">
    <cfRule type="duplicateValues" dxfId="186" priority="258"/>
  </conditionalFormatting>
  <conditionalFormatting sqref="I182">
    <cfRule type="cellIs" dxfId="187" priority="257" operator="equal">
      <formula>0</formula>
    </cfRule>
    <cfRule type="cellIs" priority="256" operator="equal">
      <formula>0</formula>
    </cfRule>
  </conditionalFormatting>
  <conditionalFormatting sqref="I183">
    <cfRule type="cellIs" dxfId="188" priority="232" operator="equal">
      <formula>0</formula>
    </cfRule>
    <cfRule type="cellIs" priority="231" operator="equal">
      <formula>0</formula>
    </cfRule>
  </conditionalFormatting>
  <conditionalFormatting sqref="I184">
    <cfRule type="cellIs" dxfId="189" priority="234" operator="equal">
      <formula>0</formula>
    </cfRule>
    <cfRule type="cellIs" priority="233" operator="equal">
      <formula>0</formula>
    </cfRule>
  </conditionalFormatting>
  <conditionalFormatting sqref="B192:C192">
    <cfRule type="duplicateValues" dxfId="190" priority="255"/>
  </conditionalFormatting>
  <conditionalFormatting sqref="I193">
    <cfRule type="cellIs" dxfId="191" priority="211" operator="equal">
      <formula>0</formula>
    </cfRule>
    <cfRule type="cellIs" priority="210" operator="equal">
      <formula>0</formula>
    </cfRule>
  </conditionalFormatting>
  <conditionalFormatting sqref="D197">
    <cfRule type="duplicateValues" dxfId="192" priority="203"/>
  </conditionalFormatting>
  <conditionalFormatting sqref="I197">
    <cfRule type="cellIs" dxfId="193" priority="202" operator="equal">
      <formula>0</formula>
    </cfRule>
    <cfRule type="cellIs" priority="201" operator="equal">
      <formula>0</formula>
    </cfRule>
  </conditionalFormatting>
  <conditionalFormatting sqref="D198">
    <cfRule type="duplicateValues" dxfId="194" priority="194"/>
  </conditionalFormatting>
  <conditionalFormatting sqref="I198">
    <cfRule type="cellIs" dxfId="195" priority="193" operator="equal">
      <formula>0</formula>
    </cfRule>
    <cfRule type="cellIs" priority="192" operator="equal">
      <formula>0</formula>
    </cfRule>
  </conditionalFormatting>
  <conditionalFormatting sqref="D199">
    <cfRule type="duplicateValues" dxfId="196" priority="197"/>
  </conditionalFormatting>
  <conditionalFormatting sqref="I199">
    <cfRule type="cellIs" dxfId="197" priority="196" operator="equal">
      <formula>0</formula>
    </cfRule>
    <cfRule type="cellIs" priority="195" operator="equal">
      <formula>0</formula>
    </cfRule>
  </conditionalFormatting>
  <conditionalFormatting sqref="D200">
    <cfRule type="duplicateValues" dxfId="198" priority="200"/>
  </conditionalFormatting>
  <conditionalFormatting sqref="I200">
    <cfRule type="cellIs" dxfId="199" priority="199" operator="equal">
      <formula>0</formula>
    </cfRule>
    <cfRule type="cellIs" priority="198" operator="equal">
      <formula>0</formula>
    </cfRule>
  </conditionalFormatting>
  <conditionalFormatting sqref="D201">
    <cfRule type="duplicateValues" dxfId="200" priority="206"/>
  </conditionalFormatting>
  <conditionalFormatting sqref="I201">
    <cfRule type="cellIs" dxfId="201" priority="205" operator="equal">
      <formula>0</formula>
    </cfRule>
    <cfRule type="cellIs" priority="204" operator="equal">
      <formula>0</formula>
    </cfRule>
  </conditionalFormatting>
  <conditionalFormatting sqref="D202">
    <cfRule type="duplicateValues" dxfId="202" priority="209"/>
  </conditionalFormatting>
  <conditionalFormatting sqref="I202">
    <cfRule type="cellIs" dxfId="203" priority="208" operator="equal">
      <formula>0</formula>
    </cfRule>
    <cfRule type="cellIs" priority="207" operator="equal">
      <formula>0</formula>
    </cfRule>
  </conditionalFormatting>
  <conditionalFormatting sqref="B115:B116">
    <cfRule type="duplicateValues" dxfId="204" priority="181"/>
  </conditionalFormatting>
  <conditionalFormatting sqref="D7:D8">
    <cfRule type="duplicateValues" dxfId="205" priority="96"/>
  </conditionalFormatting>
  <conditionalFormatting sqref="D94:D109">
    <cfRule type="duplicateValues" dxfId="206" priority="191"/>
  </conditionalFormatting>
  <conditionalFormatting sqref="D111:D113">
    <cfRule type="duplicateValues" dxfId="207" priority="186"/>
  </conditionalFormatting>
  <conditionalFormatting sqref="D115:D116">
    <cfRule type="duplicateValues" dxfId="208" priority="180"/>
  </conditionalFormatting>
  <conditionalFormatting sqref="I7:I8">
    <cfRule type="cellIs" dxfId="209" priority="93" operator="equal">
      <formula>0</formula>
    </cfRule>
    <cfRule type="cellIs" priority="92" operator="equal">
      <formula>0</formula>
    </cfRule>
  </conditionalFormatting>
  <conditionalFormatting sqref="I11:I12">
    <cfRule type="cellIs" dxfId="210" priority="110" operator="equal">
      <formula>0</formula>
    </cfRule>
    <cfRule type="cellIs" priority="109" operator="equal">
      <formula>0</formula>
    </cfRule>
  </conditionalFormatting>
  <conditionalFormatting sqref="I24:I27">
    <cfRule type="cellIs" dxfId="211" priority="146" operator="equal">
      <formula>0</formula>
    </cfRule>
    <cfRule type="cellIs" priority="145" operator="equal">
      <formula>0</formula>
    </cfRule>
  </conditionalFormatting>
  <conditionalFormatting sqref="I28:I29">
    <cfRule type="cellIs" dxfId="212" priority="144" operator="equal">
      <formula>0</formula>
    </cfRule>
    <cfRule type="cellIs" priority="143" operator="equal">
      <formula>0</formula>
    </cfRule>
  </conditionalFormatting>
  <conditionalFormatting sqref="I31:I32">
    <cfRule type="cellIs" dxfId="213" priority="142" operator="equal">
      <formula>0</formula>
    </cfRule>
    <cfRule type="cellIs" priority="141" operator="equal">
      <formula>0</formula>
    </cfRule>
  </conditionalFormatting>
  <conditionalFormatting sqref="I34:I38">
    <cfRule type="cellIs" dxfId="214" priority="140" operator="equal">
      <formula>0</formula>
    </cfRule>
    <cfRule type="cellIs" priority="139" operator="equal">
      <formula>0</formula>
    </cfRule>
  </conditionalFormatting>
  <conditionalFormatting sqref="I40:I42">
    <cfRule type="cellIs" dxfId="215" priority="138" operator="equal">
      <formula>0</formula>
    </cfRule>
    <cfRule type="cellIs" priority="137" operator="equal">
      <formula>0</formula>
    </cfRule>
  </conditionalFormatting>
  <conditionalFormatting sqref="I44:I48">
    <cfRule type="cellIs" dxfId="216" priority="136" operator="equal">
      <formula>0</formula>
    </cfRule>
    <cfRule type="cellIs" priority="135" operator="equal">
      <formula>0</formula>
    </cfRule>
  </conditionalFormatting>
  <conditionalFormatting sqref="I50:I52">
    <cfRule type="cellIs" dxfId="217" priority="134" operator="equal">
      <formula>0</formula>
    </cfRule>
    <cfRule type="cellIs" priority="133" operator="equal">
      <formula>0</formula>
    </cfRule>
  </conditionalFormatting>
  <conditionalFormatting sqref="I55:I57">
    <cfRule type="cellIs" dxfId="218" priority="154" operator="equal">
      <formula>0</formula>
    </cfRule>
    <cfRule type="cellIs" priority="153" operator="equal">
      <formula>0</formula>
    </cfRule>
  </conditionalFormatting>
  <conditionalFormatting sqref="I94:I109">
    <cfRule type="cellIs" dxfId="219" priority="228" operator="equal">
      <formula>0</formula>
    </cfRule>
    <cfRule type="cellIs" priority="227" operator="equal">
      <formula>0</formula>
    </cfRule>
  </conditionalFormatting>
  <conditionalFormatting sqref="I111:I113">
    <cfRule type="cellIs" dxfId="220" priority="171" operator="equal">
      <formula>0</formula>
    </cfRule>
    <cfRule type="cellIs" priority="170" operator="equal">
      <formula>0</formula>
    </cfRule>
  </conditionalFormatting>
  <conditionalFormatting sqref="I122:I123">
    <cfRule type="cellIs" dxfId="221" priority="226" operator="equal">
      <formula>0</formula>
    </cfRule>
    <cfRule type="cellIs" priority="225" operator="equal">
      <formula>0</formula>
    </cfRule>
  </conditionalFormatting>
  <conditionalFormatting sqref="I125:I126">
    <cfRule type="cellIs" dxfId="222" priority="224" operator="equal">
      <formula>0</formula>
    </cfRule>
    <cfRule type="cellIs" priority="223" operator="equal">
      <formula>0</formula>
    </cfRule>
  </conditionalFormatting>
  <conditionalFormatting sqref="I157:I158">
    <cfRule type="cellIs" dxfId="223" priority="244" operator="equal">
      <formula>0</formula>
    </cfRule>
    <cfRule type="cellIs" priority="243" operator="equal">
      <formula>0</formula>
    </cfRule>
  </conditionalFormatting>
  <conditionalFormatting sqref="I163:I165">
    <cfRule type="cellIs" dxfId="224" priority="242" operator="equal">
      <formula>0</formula>
    </cfRule>
    <cfRule type="cellIs" priority="241" operator="equal">
      <formula>0</formula>
    </cfRule>
  </conditionalFormatting>
  <conditionalFormatting sqref="I172:I175">
    <cfRule type="cellIs" dxfId="225" priority="238" operator="equal">
      <formula>0</formula>
    </cfRule>
    <cfRule type="cellIs" priority="237" operator="equal">
      <formula>0</formula>
    </cfRule>
  </conditionalFormatting>
  <conditionalFormatting sqref="I186:I187">
    <cfRule type="cellIs" dxfId="226" priority="230" operator="equal">
      <formula>0</formula>
    </cfRule>
    <cfRule type="cellIs" priority="229" operator="equal">
      <formula>0</formula>
    </cfRule>
  </conditionalFormatting>
  <conditionalFormatting sqref="J108:J109">
    <cfRule type="cellIs" dxfId="227" priority="88" operator="equal">
      <formula>0</formula>
    </cfRule>
    <cfRule type="cellIs" priority="87" operator="equal">
      <formula>0</formula>
    </cfRule>
  </conditionalFormatting>
  <conditionalFormatting sqref="J111:J113">
    <cfRule type="cellIs" dxfId="228" priority="60" operator="equal">
      <formula>0</formula>
    </cfRule>
    <cfRule type="cellIs" priority="59" operator="equal">
      <formula>0</formula>
    </cfRule>
  </conditionalFormatting>
  <conditionalFormatting sqref="J139:J141">
    <cfRule type="cellIs" dxfId="229" priority="10" operator="equal">
      <formula>0</formula>
    </cfRule>
    <cfRule type="cellIs" priority="9" operator="equal">
      <formula>0</formula>
    </cfRule>
  </conditionalFormatting>
  <conditionalFormatting sqref="K7:K8">
    <cfRule type="cellIs" dxfId="230" priority="95" operator="equal">
      <formula>0</formula>
    </cfRule>
    <cfRule type="cellIs" priority="94" operator="equal">
      <formula>0</formula>
    </cfRule>
  </conditionalFormatting>
  <conditionalFormatting sqref="K11:K12">
    <cfRule type="cellIs" dxfId="231" priority="112" operator="equal">
      <formula>0</formula>
    </cfRule>
    <cfRule type="cellIs" priority="111" operator="equal">
      <formula>0</formula>
    </cfRule>
  </conditionalFormatting>
  <conditionalFormatting sqref="K51:K52">
    <cfRule type="cellIs" dxfId="232" priority="52" operator="equal">
      <formula>0</formula>
    </cfRule>
    <cfRule type="cellIs" priority="51" operator="equal">
      <formula>0</formula>
    </cfRule>
  </conditionalFormatting>
  <conditionalFormatting sqref="K111:K113">
    <cfRule type="cellIs" dxfId="233" priority="185" operator="equal">
      <formula>0</formula>
    </cfRule>
    <cfRule type="cellIs" priority="184" operator="equal">
      <formula>0</formula>
    </cfRule>
  </conditionalFormatting>
  <conditionalFormatting sqref="K115:K116">
    <cfRule type="cellIs" dxfId="234" priority="177" operator="equal">
      <formula>0</formula>
    </cfRule>
    <cfRule type="cellIs" priority="176" operator="equal">
      <formula>0</formula>
    </cfRule>
  </conditionalFormatting>
  <conditionalFormatting sqref="M95:M109">
    <cfRule type="cellIs" dxfId="235" priority="188" operator="equal">
      <formula>0</formula>
    </cfRule>
    <cfRule type="cellIs" priority="187" operator="equal">
      <formula>0</formula>
    </cfRule>
  </conditionalFormatting>
  <conditionalFormatting sqref="M111:M113">
    <cfRule type="cellIs" priority="182" operator="equal">
      <formula>0</formula>
    </cfRule>
    <cfRule type="cellIs" dxfId="236" priority="183" operator="equal">
      <formula>0</formula>
    </cfRule>
  </conditionalFormatting>
  <conditionalFormatting sqref="M115:M116">
    <cfRule type="cellIs" priority="174" operator="equal">
      <formula>0</formula>
    </cfRule>
    <cfRule type="cellIs" dxfId="237" priority="175" operator="equal">
      <formula>0</formula>
    </cfRule>
  </conditionalFormatting>
  <conditionalFormatting sqref="D204:D1048576 D92:D93 D1:D3 D110 D114 D117:D159 D161:D192">
    <cfRule type="duplicateValues" dxfId="238" priority="268"/>
  </conditionalFormatting>
  <conditionalFormatting sqref="D9:D20 D4:D5 D23:D91">
    <cfRule type="duplicateValues" dxfId="239" priority="168"/>
  </conditionalFormatting>
  <conditionalFormatting sqref="I61:I62 I4:I5 I30 I39 I54 I59 I66:I67 I82:I85 I77:I80 I69:I75 I89:I91 I33 I9 I13 K4:K6 K13 K16:K20 I16:I17 K9:K10 K23:K50 K53:K91">
    <cfRule type="cellIs" dxfId="240" priority="167" operator="equal">
      <formula>0</formula>
    </cfRule>
  </conditionalFormatting>
  <conditionalFormatting sqref="I61:I62 I30 I39 I54 I59 I66:I67 I82:I85 I77:I80 I69:I75 I89:I91 I33 I9 I13 K6 K13 K16:K20 I16:I17 K9:K10 K23:K50 K53:K91">
    <cfRule type="cellIs" priority="166" operator="equal">
      <formula>0</formula>
    </cfRule>
  </conditionalFormatting>
  <conditionalFormatting sqref="I14:I15 K14:K15">
    <cfRule type="cellIs" dxfId="241" priority="108" operator="equal">
      <formula>0</formula>
    </cfRule>
    <cfRule type="cellIs" priority="107" operator="equal">
      <formula>0</formula>
    </cfRule>
  </conditionalFormatting>
  <conditionalFormatting sqref="I18:I20 I23">
    <cfRule type="cellIs" dxfId="242" priority="148" operator="equal">
      <formula>0</formula>
    </cfRule>
    <cfRule type="cellIs" priority="147" operator="equal">
      <formula>0</formula>
    </cfRule>
  </conditionalFormatting>
  <conditionalFormatting sqref="I124 I127:I128 I154:I156 I142:I144 I147:I150 I152 I159 I166:I168 I176:I181 I171 I185 I188:I192 I204:I1048576 J116:J117 I114:K114 I161:I162 I110:K110 K94:K109 I116:I121 J150:K150 J149 J161:K169 J118:K121 J123:K124 K122 J126:K128 K125 K129 I130:K136 I138:K138 K137 J142:K148 K139:K141 I92:K93 J153:K159 K151:K152 J171:K1048576 K170">
    <cfRule type="cellIs" dxfId="243" priority="267" operator="equal">
      <formula>0</formula>
    </cfRule>
  </conditionalFormatting>
  <conditionalFormatting sqref="I124 I127:I128 I154:I156 I142:I144 I147:I150 I152 I159 I166:I168 I176:I181 I171 I185 I188:I192 J116:J117 I114:K114 I161:I162 I110:K110 K94:K109 I116:I121 J150:K150 J149 J161:K169 J118:K121 J123:K124 K122 J126:K128 K125 K129 I130:K136 I138:K138 K137 J142:K148 K139:K141 I92:K93 J153:K159 K151:K152 J171:K203 K170">
    <cfRule type="cellIs" priority="266" operator="equal">
      <formula>0</formula>
    </cfRule>
  </conditionalFormatting>
  <conditionalFormatting sqref="B114:C114 B117:C117">
    <cfRule type="duplicateValues" dxfId="244" priority="262"/>
  </conditionalFormatting>
  <conditionalFormatting sqref="D203 D193:D196">
    <cfRule type="duplicateValues" dxfId="245" priority="214"/>
  </conditionalFormatting>
  <conditionalFormatting sqref="I194:I196 I203">
    <cfRule type="cellIs" dxfId="246" priority="213" operator="equal">
      <formula>0</formula>
    </cfRule>
    <cfRule type="cellIs" priority="212" operator="equal">
      <formula>0</formula>
    </cfRule>
  </conditionalFormatting>
  <pageMargins left="0.699305555555556" right="0.699305555555556" top="0.75" bottom="0.75" header="0.3" footer="0.3"/>
  <pageSetup paperSize="9" orientation="portrait"/>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outlinePr summaryBelow="0" summaryRight="0"/>
  </sheetPr>
  <dimension ref="A1:Y202"/>
  <sheetViews>
    <sheetView workbookViewId="0">
      <pane xSplit="4" ySplit="3" topLeftCell="E180" activePane="bottomRight" state="frozen"/>
      <selection/>
      <selection pane="topRight"/>
      <selection pane="bottomLeft"/>
      <selection pane="bottomRight" activeCell="B198" sqref="B198"/>
    </sheetView>
  </sheetViews>
  <sheetFormatPr defaultColWidth="9" defaultRowHeight="24" customHeight="1"/>
  <cols>
    <col min="1" max="1" width="3.4" style="168" customWidth="1"/>
    <col min="2" max="2" width="17.6" style="168" customWidth="1"/>
    <col min="3" max="3" width="5.1" style="166" customWidth="1"/>
    <col min="4" max="4" width="29.5" style="569" customWidth="1"/>
    <col min="5" max="5" width="20.9" style="166" customWidth="1"/>
    <col min="6" max="6" width="17.9" style="166" customWidth="1"/>
    <col min="7" max="7" width="8.4" style="166" customWidth="1"/>
    <col min="8" max="8" width="7.4" style="166" customWidth="1"/>
    <col min="9" max="11" width="9" style="458" customWidth="1"/>
    <col min="12" max="12" width="9.4" style="166" customWidth="1"/>
    <col min="13" max="13" width="9.5" style="166" customWidth="1"/>
    <col min="14" max="14" width="9.6" style="459" customWidth="1"/>
    <col min="15" max="15" width="9" style="169" customWidth="1"/>
    <col min="16" max="16" width="9.4" style="169" customWidth="1"/>
    <col min="17" max="17" width="9" style="168" customWidth="1"/>
    <col min="18" max="18" width="20.6" style="168" customWidth="1"/>
    <col min="19" max="19" width="9.4" style="168" customWidth="1"/>
    <col min="20" max="20" width="26.6" style="168" customWidth="1"/>
    <col min="21" max="23" width="9.1" style="168" hidden="1" customWidth="1"/>
    <col min="24" max="24" width="9.1" style="168" customWidth="1"/>
    <col min="25" max="25" width="9.1" style="460" customWidth="1"/>
    <col min="26" max="26" width="9.1" style="168" customWidth="1"/>
    <col min="27" max="16384" width="9" style="168"/>
  </cols>
  <sheetData>
    <row r="1" s="456" customFormat="1" ht="21.75" customHeight="1" spans="3:25">
      <c r="C1" s="461"/>
      <c r="D1" s="570" t="s">
        <v>195</v>
      </c>
      <c r="E1" s="375" t="s">
        <v>505</v>
      </c>
      <c r="F1" s="375" t="s">
        <v>603</v>
      </c>
      <c r="G1" s="375" t="s">
        <v>862</v>
      </c>
      <c r="H1" s="375" t="s">
        <v>601</v>
      </c>
      <c r="I1" s="375" t="s">
        <v>602</v>
      </c>
      <c r="J1" s="375" t="s">
        <v>1252</v>
      </c>
      <c r="M1" s="481"/>
      <c r="N1" s="482"/>
      <c r="O1" s="482"/>
      <c r="P1" s="483"/>
      <c r="S1" s="456">
        <v>418</v>
      </c>
      <c r="Y1" s="501"/>
    </row>
    <row r="2" s="456" customFormat="1" ht="17.25" customHeight="1" spans="3:25">
      <c r="C2" s="461"/>
      <c r="D2" s="570" t="s">
        <v>1524</v>
      </c>
      <c r="E2" s="463">
        <v>0</v>
      </c>
      <c r="F2" s="464">
        <v>0</v>
      </c>
      <c r="G2" s="465">
        <v>0</v>
      </c>
      <c r="H2" s="465">
        <v>0</v>
      </c>
      <c r="I2" s="465">
        <v>0</v>
      </c>
      <c r="J2" s="465" t="s">
        <v>1924</v>
      </c>
      <c r="M2" s="481"/>
      <c r="N2" s="484"/>
      <c r="O2" s="484"/>
      <c r="P2" s="483"/>
      <c r="Y2" s="501"/>
    </row>
    <row r="3" s="166" customFormat="1" ht="33" customHeight="1" spans="2:16">
      <c r="B3" s="466" t="s">
        <v>21</v>
      </c>
      <c r="C3" s="466"/>
      <c r="D3" s="571" t="s">
        <v>494</v>
      </c>
      <c r="E3" s="467" t="s">
        <v>605</v>
      </c>
      <c r="F3" s="467" t="s">
        <v>606</v>
      </c>
      <c r="G3" s="467" t="s">
        <v>607</v>
      </c>
      <c r="H3" s="467" t="s">
        <v>608</v>
      </c>
      <c r="I3" s="467" t="s">
        <v>1525</v>
      </c>
      <c r="J3" s="485" t="s">
        <v>610</v>
      </c>
      <c r="K3" s="486" t="s">
        <v>611</v>
      </c>
      <c r="L3" s="485" t="s">
        <v>612</v>
      </c>
      <c r="M3" s="485" t="s">
        <v>613</v>
      </c>
      <c r="N3" s="52" t="s">
        <v>614</v>
      </c>
      <c r="O3" s="487" t="s">
        <v>1526</v>
      </c>
      <c r="P3" s="466" t="s">
        <v>1300</v>
      </c>
    </row>
    <row r="4" ht="16.5" customHeight="1" spans="2:25">
      <c r="B4" s="468" t="s">
        <v>875</v>
      </c>
      <c r="C4" s="469" t="s">
        <v>533</v>
      </c>
      <c r="D4" s="468" t="s">
        <v>481</v>
      </c>
      <c r="E4" s="192"/>
      <c r="F4" s="192"/>
      <c r="G4" s="192"/>
      <c r="H4" s="192"/>
      <c r="I4" s="488"/>
      <c r="J4" s="192"/>
      <c r="K4" s="489"/>
      <c r="L4" s="192"/>
      <c r="M4" s="192"/>
      <c r="N4" s="490">
        <v>0</v>
      </c>
      <c r="O4" s="491" t="e">
        <v>#DIV/0!</v>
      </c>
      <c r="P4" s="230"/>
      <c r="Y4" s="168"/>
    </row>
    <row r="5" ht="16.5" customHeight="1" outlineLevel="1" spans="2:25">
      <c r="B5" s="121" t="s">
        <v>534</v>
      </c>
      <c r="C5" s="193">
        <v>1</v>
      </c>
      <c r="D5" s="121" t="s">
        <v>1527</v>
      </c>
      <c r="E5" s="193"/>
      <c r="F5" s="193"/>
      <c r="G5" s="193"/>
      <c r="H5" s="155"/>
      <c r="I5" s="492"/>
      <c r="J5" s="155"/>
      <c r="K5" s="493"/>
      <c r="L5" s="494">
        <v>0</v>
      </c>
      <c r="M5" s="494">
        <v>0</v>
      </c>
      <c r="N5" s="494">
        <v>0</v>
      </c>
      <c r="O5" s="495" t="e">
        <v>#DIV/0!</v>
      </c>
      <c r="P5" s="233"/>
      <c r="Y5" s="168"/>
    </row>
    <row r="6" ht="16.5" customHeight="1" outlineLevel="2" spans="2:25">
      <c r="B6" s="470" t="s">
        <v>1528</v>
      </c>
      <c r="C6" s="471" t="s">
        <v>619</v>
      </c>
      <c r="D6" s="474" t="s">
        <v>1529</v>
      </c>
      <c r="E6" s="95" t="s">
        <v>774</v>
      </c>
      <c r="F6" s="95"/>
      <c r="G6" s="236"/>
      <c r="H6" s="472"/>
      <c r="I6" s="144"/>
      <c r="J6" s="496"/>
      <c r="K6" s="497"/>
      <c r="L6" s="498">
        <v>0</v>
      </c>
      <c r="M6" s="498">
        <v>0</v>
      </c>
      <c r="N6" s="498">
        <v>0</v>
      </c>
      <c r="O6" s="499" t="e">
        <v>#DIV/0!</v>
      </c>
      <c r="P6" s="309"/>
      <c r="Y6" s="168"/>
    </row>
    <row r="7" ht="16.5" customHeight="1" outlineLevel="3" spans="2:25">
      <c r="B7" s="470" t="s">
        <v>1530</v>
      </c>
      <c r="C7" s="473" t="s">
        <v>622</v>
      </c>
      <c r="D7" s="474" t="s">
        <v>1531</v>
      </c>
      <c r="E7" s="95"/>
      <c r="F7" s="95"/>
      <c r="G7" s="95"/>
      <c r="H7" s="472" t="s">
        <v>827</v>
      </c>
      <c r="I7" s="144">
        <v>3000</v>
      </c>
      <c r="J7" s="496">
        <v>31.5315315315315</v>
      </c>
      <c r="K7" s="497">
        <v>0.11</v>
      </c>
      <c r="L7" s="496">
        <v>0</v>
      </c>
      <c r="M7" s="496">
        <v>0</v>
      </c>
      <c r="N7" s="498">
        <v>0</v>
      </c>
      <c r="O7" s="499" t="e">
        <v>#DIV/0!</v>
      </c>
      <c r="P7" s="309"/>
      <c r="Y7" s="168"/>
    </row>
    <row r="8" ht="16.5" customHeight="1" outlineLevel="3" spans="2:25">
      <c r="B8" s="470" t="s">
        <v>1532</v>
      </c>
      <c r="C8" s="473" t="s">
        <v>622</v>
      </c>
      <c r="D8" s="474" t="s">
        <v>1533</v>
      </c>
      <c r="E8" s="95"/>
      <c r="F8" s="95" t="s">
        <v>862</v>
      </c>
      <c r="G8" s="95">
        <v>2</v>
      </c>
      <c r="H8" s="472" t="s">
        <v>827</v>
      </c>
      <c r="I8" s="144">
        <v>0</v>
      </c>
      <c r="J8" s="496">
        <v>10.8</v>
      </c>
      <c r="K8" s="497">
        <v>0.11</v>
      </c>
      <c r="L8" s="496">
        <v>0</v>
      </c>
      <c r="M8" s="496">
        <v>0</v>
      </c>
      <c r="N8" s="498">
        <v>0</v>
      </c>
      <c r="O8" s="499" t="e">
        <v>#DIV/0!</v>
      </c>
      <c r="P8" s="309"/>
      <c r="Y8" s="168"/>
    </row>
    <row r="9" ht="16.5" customHeight="1" outlineLevel="2" spans="2:25">
      <c r="B9" s="470" t="s">
        <v>1534</v>
      </c>
      <c r="C9" s="471" t="s">
        <v>657</v>
      </c>
      <c r="D9" s="474" t="s">
        <v>535</v>
      </c>
      <c r="E9" s="95"/>
      <c r="F9" s="95"/>
      <c r="G9" s="236"/>
      <c r="H9" s="236"/>
      <c r="I9" s="144"/>
      <c r="J9" s="500">
        <v>0</v>
      </c>
      <c r="K9" s="497"/>
      <c r="L9" s="498">
        <v>0</v>
      </c>
      <c r="M9" s="498">
        <v>0</v>
      </c>
      <c r="N9" s="498">
        <v>0</v>
      </c>
      <c r="O9" s="499" t="e">
        <v>#DIV/0!</v>
      </c>
      <c r="P9" s="309"/>
      <c r="Y9" s="168"/>
    </row>
    <row r="10" ht="16.5" customHeight="1" outlineLevel="3" spans="2:25">
      <c r="B10" s="470" t="s">
        <v>1535</v>
      </c>
      <c r="C10" s="473" t="s">
        <v>622</v>
      </c>
      <c r="D10" s="474" t="s">
        <v>1536</v>
      </c>
      <c r="E10" s="290" t="s">
        <v>774</v>
      </c>
      <c r="F10" s="290" t="s">
        <v>1537</v>
      </c>
      <c r="G10" s="475"/>
      <c r="H10" s="292"/>
      <c r="I10" s="475"/>
      <c r="J10" s="500">
        <v>0</v>
      </c>
      <c r="K10" s="497"/>
      <c r="L10" s="498">
        <v>0</v>
      </c>
      <c r="M10" s="498">
        <v>0</v>
      </c>
      <c r="N10" s="498">
        <v>0</v>
      </c>
      <c r="O10" s="499" t="e">
        <v>#DIV/0!</v>
      </c>
      <c r="P10" s="309"/>
      <c r="Y10" s="168"/>
    </row>
    <row r="11" ht="16.5" customHeight="1" outlineLevel="4" spans="2:25">
      <c r="B11" s="470" t="s">
        <v>1538</v>
      </c>
      <c r="C11" s="473"/>
      <c r="D11" s="474" t="s">
        <v>1539</v>
      </c>
      <c r="E11" s="290"/>
      <c r="F11" s="290" t="s">
        <v>1537</v>
      </c>
      <c r="G11" s="475"/>
      <c r="H11" s="292" t="s">
        <v>827</v>
      </c>
      <c r="I11" s="475">
        <v>0</v>
      </c>
      <c r="J11" s="500"/>
      <c r="K11" s="497">
        <v>0.17</v>
      </c>
      <c r="L11" s="496">
        <v>0</v>
      </c>
      <c r="M11" s="496">
        <v>0</v>
      </c>
      <c r="N11" s="498">
        <v>0</v>
      </c>
      <c r="O11" s="499"/>
      <c r="P11" s="309"/>
      <c r="Y11" s="168"/>
    </row>
    <row r="12" ht="16.5" customHeight="1" outlineLevel="4" spans="2:25">
      <c r="B12" s="470" t="s">
        <v>1540</v>
      </c>
      <c r="C12" s="473"/>
      <c r="D12" s="474" t="s">
        <v>1541</v>
      </c>
      <c r="E12" s="290"/>
      <c r="F12" s="290" t="s">
        <v>1537</v>
      </c>
      <c r="G12" s="475">
        <v>0.39</v>
      </c>
      <c r="H12" s="292" t="s">
        <v>827</v>
      </c>
      <c r="I12" s="475">
        <v>0</v>
      </c>
      <c r="J12" s="500">
        <v>409</v>
      </c>
      <c r="K12" s="497">
        <v>0.11</v>
      </c>
      <c r="L12" s="496">
        <v>0</v>
      </c>
      <c r="M12" s="496">
        <v>0</v>
      </c>
      <c r="N12" s="498">
        <v>0</v>
      </c>
      <c r="O12" s="499"/>
      <c r="P12" s="309"/>
      <c r="Y12" s="168"/>
    </row>
    <row r="13" ht="16.5" customHeight="1" outlineLevel="3" spans="2:25">
      <c r="B13" s="470" t="s">
        <v>1542</v>
      </c>
      <c r="C13" s="473" t="s">
        <v>622</v>
      </c>
      <c r="D13" s="474" t="s">
        <v>1543</v>
      </c>
      <c r="E13" s="290" t="s">
        <v>774</v>
      </c>
      <c r="F13" s="290" t="s">
        <v>1537</v>
      </c>
      <c r="G13" s="475"/>
      <c r="H13" s="292"/>
      <c r="I13" s="475"/>
      <c r="J13" s="500">
        <v>0</v>
      </c>
      <c r="K13" s="497"/>
      <c r="L13" s="498">
        <v>0</v>
      </c>
      <c r="M13" s="498">
        <v>0</v>
      </c>
      <c r="N13" s="498">
        <v>0</v>
      </c>
      <c r="O13" s="499" t="e">
        <v>#DIV/0!</v>
      </c>
      <c r="P13" s="309"/>
      <c r="Y13" s="168"/>
    </row>
    <row r="14" ht="16.5" customHeight="1" outlineLevel="4" spans="2:25">
      <c r="B14" s="470" t="s">
        <v>1544</v>
      </c>
      <c r="C14" s="473"/>
      <c r="D14" s="474" t="s">
        <v>1545</v>
      </c>
      <c r="E14" s="290"/>
      <c r="F14" s="290"/>
      <c r="G14" s="475"/>
      <c r="H14" s="292" t="s">
        <v>1546</v>
      </c>
      <c r="I14" s="475">
        <v>0</v>
      </c>
      <c r="J14" s="500"/>
      <c r="K14" s="497">
        <v>0.17</v>
      </c>
      <c r="L14" s="496">
        <v>0</v>
      </c>
      <c r="M14" s="496">
        <v>0</v>
      </c>
      <c r="N14" s="498">
        <v>0</v>
      </c>
      <c r="O14" s="499" t="e">
        <v>#DIV/0!</v>
      </c>
      <c r="P14" s="309"/>
      <c r="Y14" s="168"/>
    </row>
    <row r="15" ht="16.5" customHeight="1" outlineLevel="4" spans="2:25">
      <c r="B15" s="470" t="s">
        <v>1547</v>
      </c>
      <c r="C15" s="473"/>
      <c r="D15" s="474" t="s">
        <v>1548</v>
      </c>
      <c r="E15" s="290"/>
      <c r="F15" s="290"/>
      <c r="G15" s="475">
        <v>44</v>
      </c>
      <c r="H15" s="292" t="s">
        <v>1546</v>
      </c>
      <c r="I15" s="475">
        <v>0</v>
      </c>
      <c r="J15" s="500">
        <v>3.43</v>
      </c>
      <c r="K15" s="497">
        <v>0.11</v>
      </c>
      <c r="L15" s="496">
        <v>0</v>
      </c>
      <c r="M15" s="496">
        <v>0</v>
      </c>
      <c r="N15" s="498">
        <v>0</v>
      </c>
      <c r="O15" s="499" t="e">
        <v>#DIV/0!</v>
      </c>
      <c r="P15" s="309"/>
      <c r="Y15" s="168"/>
    </row>
    <row r="16" ht="16.5" customHeight="1" outlineLevel="3" spans="2:25">
      <c r="B16" s="470" t="s">
        <v>1549</v>
      </c>
      <c r="C16" s="473" t="s">
        <v>622</v>
      </c>
      <c r="D16" s="474" t="s">
        <v>1550</v>
      </c>
      <c r="E16" s="290" t="s">
        <v>774</v>
      </c>
      <c r="F16" s="290" t="s">
        <v>1537</v>
      </c>
      <c r="G16" s="475">
        <v>3.8</v>
      </c>
      <c r="H16" s="292" t="s">
        <v>1015</v>
      </c>
      <c r="I16" s="475">
        <v>0</v>
      </c>
      <c r="J16" s="475">
        <v>49.55</v>
      </c>
      <c r="K16" s="497">
        <v>0.11</v>
      </c>
      <c r="L16" s="496">
        <v>0</v>
      </c>
      <c r="M16" s="496">
        <v>0</v>
      </c>
      <c r="N16" s="498">
        <v>0</v>
      </c>
      <c r="O16" s="499" t="e">
        <v>#DIV/0!</v>
      </c>
      <c r="P16" s="236"/>
      <c r="Y16" s="168"/>
    </row>
    <row r="17" ht="16.5" customHeight="1" outlineLevel="3" spans="2:25">
      <c r="B17" s="470" t="s">
        <v>1551</v>
      </c>
      <c r="C17" s="473" t="s">
        <v>622</v>
      </c>
      <c r="D17" s="474" t="s">
        <v>1552</v>
      </c>
      <c r="E17" s="290" t="s">
        <v>774</v>
      </c>
      <c r="F17" s="290"/>
      <c r="G17" s="475"/>
      <c r="H17" s="292"/>
      <c r="I17" s="475"/>
      <c r="J17" s="200">
        <v>0</v>
      </c>
      <c r="K17" s="497"/>
      <c r="L17" s="498">
        <v>0</v>
      </c>
      <c r="M17" s="498">
        <v>0</v>
      </c>
      <c r="N17" s="498">
        <v>0</v>
      </c>
      <c r="O17" s="499" t="e">
        <v>#DIV/0!</v>
      </c>
      <c r="P17" s="236"/>
      <c r="Y17" s="168"/>
    </row>
    <row r="18" ht="16.5" customHeight="1" outlineLevel="4" spans="2:25">
      <c r="B18" s="470" t="s">
        <v>1553</v>
      </c>
      <c r="C18" s="473"/>
      <c r="D18" s="474" t="s">
        <v>1554</v>
      </c>
      <c r="E18" s="290"/>
      <c r="F18" s="290" t="s">
        <v>1537</v>
      </c>
      <c r="G18" s="475"/>
      <c r="H18" s="292" t="s">
        <v>827</v>
      </c>
      <c r="I18" s="475">
        <v>0</v>
      </c>
      <c r="J18" s="200"/>
      <c r="K18" s="497">
        <v>0.17</v>
      </c>
      <c r="L18" s="496">
        <v>0</v>
      </c>
      <c r="M18" s="496">
        <v>0</v>
      </c>
      <c r="N18" s="498">
        <v>0</v>
      </c>
      <c r="O18" s="499" t="e">
        <v>#DIV/0!</v>
      </c>
      <c r="P18" s="236"/>
      <c r="Y18" s="168"/>
    </row>
    <row r="19" ht="16.5" customHeight="1" outlineLevel="4" spans="2:25">
      <c r="B19" s="470" t="s">
        <v>1555</v>
      </c>
      <c r="C19" s="473"/>
      <c r="D19" s="474" t="s">
        <v>1556</v>
      </c>
      <c r="E19" s="290"/>
      <c r="F19" s="290" t="s">
        <v>1537</v>
      </c>
      <c r="G19" s="475">
        <v>0.16</v>
      </c>
      <c r="H19" s="477" t="s">
        <v>655</v>
      </c>
      <c r="I19" s="475">
        <v>0</v>
      </c>
      <c r="J19" s="200">
        <v>480</v>
      </c>
      <c r="K19" s="497">
        <v>0.11</v>
      </c>
      <c r="L19" s="496">
        <v>0</v>
      </c>
      <c r="M19" s="496">
        <v>0</v>
      </c>
      <c r="N19" s="498">
        <v>0</v>
      </c>
      <c r="O19" s="499" t="e">
        <v>#DIV/0!</v>
      </c>
      <c r="P19" s="236"/>
      <c r="Y19" s="168"/>
    </row>
    <row r="20" ht="16.5" customHeight="1" outlineLevel="3" spans="2:25">
      <c r="B20" s="470" t="s">
        <v>1557</v>
      </c>
      <c r="C20" s="473" t="s">
        <v>622</v>
      </c>
      <c r="D20" s="474" t="s">
        <v>1558</v>
      </c>
      <c r="E20" s="290" t="s">
        <v>1353</v>
      </c>
      <c r="F20" s="290" t="s">
        <v>1537</v>
      </c>
      <c r="G20" s="478"/>
      <c r="H20" s="477"/>
      <c r="I20" s="475"/>
      <c r="J20" s="200">
        <v>0</v>
      </c>
      <c r="K20" s="497"/>
      <c r="L20" s="498">
        <v>0</v>
      </c>
      <c r="M20" s="498">
        <v>0</v>
      </c>
      <c r="N20" s="498">
        <v>0</v>
      </c>
      <c r="O20" s="499" t="e">
        <v>#DIV/0!</v>
      </c>
      <c r="P20" s="236"/>
      <c r="Y20" s="168"/>
    </row>
    <row r="21" ht="16.5" customHeight="1" outlineLevel="4" spans="2:25">
      <c r="B21" s="470" t="s">
        <v>1559</v>
      </c>
      <c r="C21" s="473"/>
      <c r="D21" s="474" t="s">
        <v>1560</v>
      </c>
      <c r="E21" s="290"/>
      <c r="F21" s="290" t="s">
        <v>1537</v>
      </c>
      <c r="G21" s="478"/>
      <c r="H21" s="477" t="s">
        <v>655</v>
      </c>
      <c r="I21" s="475">
        <v>0</v>
      </c>
      <c r="J21" s="200">
        <v>620</v>
      </c>
      <c r="K21" s="497">
        <v>0.17</v>
      </c>
      <c r="L21" s="496">
        <v>0</v>
      </c>
      <c r="M21" s="496">
        <v>0</v>
      </c>
      <c r="N21" s="498">
        <v>0</v>
      </c>
      <c r="O21" s="499" t="e">
        <v>#DIV/0!</v>
      </c>
      <c r="P21" s="236"/>
      <c r="Y21" s="168"/>
    </row>
    <row r="22" ht="16.5" customHeight="1" outlineLevel="4" spans="2:25">
      <c r="B22" s="470" t="s">
        <v>1561</v>
      </c>
      <c r="C22" s="473"/>
      <c r="D22" s="474" t="s">
        <v>1562</v>
      </c>
      <c r="E22" s="290"/>
      <c r="F22" s="290" t="s">
        <v>1537</v>
      </c>
      <c r="G22" s="478"/>
      <c r="H22" s="477" t="s">
        <v>655</v>
      </c>
      <c r="I22" s="475">
        <v>0</v>
      </c>
      <c r="J22" s="200">
        <v>370</v>
      </c>
      <c r="K22" s="497">
        <v>0.11</v>
      </c>
      <c r="L22" s="496">
        <v>0</v>
      </c>
      <c r="M22" s="496">
        <v>0</v>
      </c>
      <c r="N22" s="498">
        <v>0</v>
      </c>
      <c r="O22" s="499" t="e">
        <v>#DIV/0!</v>
      </c>
      <c r="P22" s="236"/>
      <c r="Y22" s="168"/>
    </row>
    <row r="23" ht="16.5" customHeight="1" outlineLevel="3" spans="2:25">
      <c r="B23" s="470" t="s">
        <v>1563</v>
      </c>
      <c r="C23" s="473" t="s">
        <v>622</v>
      </c>
      <c r="D23" s="474" t="s">
        <v>1564</v>
      </c>
      <c r="E23" s="479" t="s">
        <v>774</v>
      </c>
      <c r="F23" s="479"/>
      <c r="G23" s="478"/>
      <c r="H23" s="477" t="s">
        <v>827</v>
      </c>
      <c r="I23" s="475">
        <v>0</v>
      </c>
      <c r="J23" s="500">
        <v>0</v>
      </c>
      <c r="K23" s="497"/>
      <c r="L23" s="498">
        <v>0</v>
      </c>
      <c r="M23" s="498">
        <v>0</v>
      </c>
      <c r="N23" s="498">
        <v>0</v>
      </c>
      <c r="O23" s="499" t="e">
        <v>#DIV/0!</v>
      </c>
      <c r="P23" s="309"/>
      <c r="Y23" s="168"/>
    </row>
    <row r="24" ht="16.5" customHeight="1" outlineLevel="4" spans="2:25">
      <c r="B24" s="470" t="s">
        <v>1565</v>
      </c>
      <c r="C24" s="473"/>
      <c r="D24" s="474" t="s">
        <v>1925</v>
      </c>
      <c r="E24" s="290"/>
      <c r="F24" s="290" t="s">
        <v>1537</v>
      </c>
      <c r="G24" s="480">
        <v>1</v>
      </c>
      <c r="H24" s="477" t="s">
        <v>1015</v>
      </c>
      <c r="I24" s="475">
        <v>0</v>
      </c>
      <c r="J24" s="500">
        <v>21.6</v>
      </c>
      <c r="K24" s="497">
        <v>0.11</v>
      </c>
      <c r="L24" s="496">
        <v>0</v>
      </c>
      <c r="M24" s="496">
        <v>0</v>
      </c>
      <c r="N24" s="498">
        <v>0</v>
      </c>
      <c r="O24" s="499" t="e">
        <v>#DIV/0!</v>
      </c>
      <c r="P24" s="309"/>
      <c r="Y24" s="168"/>
    </row>
    <row r="25" ht="16.5" customHeight="1" outlineLevel="4" spans="2:25">
      <c r="B25" s="470" t="s">
        <v>1567</v>
      </c>
      <c r="C25" s="473"/>
      <c r="D25" s="474" t="s">
        <v>1926</v>
      </c>
      <c r="E25" s="290"/>
      <c r="F25" s="290" t="s">
        <v>1537</v>
      </c>
      <c r="G25" s="565">
        <v>2.6</v>
      </c>
      <c r="H25" s="477" t="s">
        <v>1015</v>
      </c>
      <c r="I25" s="475">
        <v>0</v>
      </c>
      <c r="J25" s="500">
        <v>28</v>
      </c>
      <c r="K25" s="497">
        <v>0.11</v>
      </c>
      <c r="L25" s="496">
        <v>0</v>
      </c>
      <c r="M25" s="496">
        <v>0</v>
      </c>
      <c r="N25" s="498">
        <v>0</v>
      </c>
      <c r="O25" s="499" t="e">
        <v>#DIV/0!</v>
      </c>
      <c r="P25" s="309"/>
      <c r="Y25" s="168"/>
    </row>
    <row r="26" ht="16.5" customHeight="1" outlineLevel="4" spans="2:25">
      <c r="B26" s="470" t="s">
        <v>1569</v>
      </c>
      <c r="C26" s="473"/>
      <c r="D26" s="474" t="s">
        <v>1927</v>
      </c>
      <c r="E26" s="290"/>
      <c r="F26" s="290" t="s">
        <v>1537</v>
      </c>
      <c r="G26" s="480">
        <v>1.1</v>
      </c>
      <c r="H26" s="477" t="s">
        <v>1015</v>
      </c>
      <c r="I26" s="475">
        <v>0</v>
      </c>
      <c r="J26" s="500">
        <v>28.83</v>
      </c>
      <c r="K26" s="497">
        <v>0.11</v>
      </c>
      <c r="L26" s="496">
        <v>0</v>
      </c>
      <c r="M26" s="496">
        <v>0</v>
      </c>
      <c r="N26" s="498">
        <v>0</v>
      </c>
      <c r="O26" s="499" t="e">
        <v>#DIV/0!</v>
      </c>
      <c r="P26" s="309"/>
      <c r="Y26" s="168"/>
    </row>
    <row r="27" ht="16.5" customHeight="1" outlineLevel="4" spans="2:25">
      <c r="B27" s="470" t="s">
        <v>1571</v>
      </c>
      <c r="C27" s="473"/>
      <c r="D27" s="474" t="s">
        <v>1928</v>
      </c>
      <c r="E27" s="290"/>
      <c r="F27" s="290" t="s">
        <v>1537</v>
      </c>
      <c r="G27" s="480">
        <v>0.3</v>
      </c>
      <c r="H27" s="477" t="s">
        <v>1015</v>
      </c>
      <c r="I27" s="475">
        <v>0</v>
      </c>
      <c r="J27" s="500">
        <v>5.41</v>
      </c>
      <c r="K27" s="497">
        <v>0.11</v>
      </c>
      <c r="L27" s="496">
        <v>0</v>
      </c>
      <c r="M27" s="496">
        <v>0</v>
      </c>
      <c r="N27" s="498">
        <v>0</v>
      </c>
      <c r="O27" s="499" t="e">
        <v>#DIV/0!</v>
      </c>
      <c r="P27" s="309"/>
      <c r="Y27" s="168"/>
    </row>
    <row r="28" ht="16.5" customHeight="1" outlineLevel="4" spans="2:25">
      <c r="B28" s="470" t="s">
        <v>1573</v>
      </c>
      <c r="C28" s="473"/>
      <c r="D28" s="474" t="s">
        <v>1574</v>
      </c>
      <c r="E28" s="290"/>
      <c r="F28" s="290" t="s">
        <v>1537</v>
      </c>
      <c r="G28" s="480">
        <v>0.9</v>
      </c>
      <c r="H28" s="477" t="s">
        <v>1015</v>
      </c>
      <c r="I28" s="475">
        <v>0</v>
      </c>
      <c r="J28" s="500">
        <v>18</v>
      </c>
      <c r="K28" s="497">
        <v>0.11</v>
      </c>
      <c r="L28" s="496">
        <v>0</v>
      </c>
      <c r="M28" s="496">
        <v>0</v>
      </c>
      <c r="N28" s="498">
        <v>0</v>
      </c>
      <c r="O28" s="499" t="e">
        <v>#DIV/0!</v>
      </c>
      <c r="P28" s="309"/>
      <c r="Y28" s="168"/>
    </row>
    <row r="29" ht="16.5" customHeight="1" outlineLevel="3" spans="2:25">
      <c r="B29" s="470" t="s">
        <v>1575</v>
      </c>
      <c r="C29" s="473" t="s">
        <v>622</v>
      </c>
      <c r="D29" s="474" t="s">
        <v>1576</v>
      </c>
      <c r="E29" s="290" t="s">
        <v>1356</v>
      </c>
      <c r="F29" s="290" t="s">
        <v>1537</v>
      </c>
      <c r="G29" s="478"/>
      <c r="H29" s="477" t="s">
        <v>655</v>
      </c>
      <c r="I29" s="475">
        <v>0</v>
      </c>
      <c r="J29" s="200">
        <v>2.76923076923077</v>
      </c>
      <c r="K29" s="497">
        <v>0.17</v>
      </c>
      <c r="L29" s="496">
        <v>0</v>
      </c>
      <c r="M29" s="496">
        <v>0</v>
      </c>
      <c r="N29" s="498">
        <v>0</v>
      </c>
      <c r="O29" s="499" t="e">
        <v>#DIV/0!</v>
      </c>
      <c r="P29" s="236"/>
      <c r="Y29" s="168"/>
    </row>
    <row r="30" ht="16.5" customHeight="1" outlineLevel="3" spans="2:25">
      <c r="B30" s="470" t="s">
        <v>1577</v>
      </c>
      <c r="C30" s="473" t="s">
        <v>622</v>
      </c>
      <c r="D30" s="474" t="s">
        <v>1578</v>
      </c>
      <c r="E30" s="479" t="s">
        <v>774</v>
      </c>
      <c r="F30" s="479"/>
      <c r="G30" s="478"/>
      <c r="H30" s="477"/>
      <c r="I30" s="200"/>
      <c r="J30" s="200">
        <v>0</v>
      </c>
      <c r="K30" s="41"/>
      <c r="L30" s="498">
        <v>0</v>
      </c>
      <c r="M30" s="498">
        <v>0</v>
      </c>
      <c r="N30" s="498">
        <v>0</v>
      </c>
      <c r="O30" s="499" t="e">
        <v>#DIV/0!</v>
      </c>
      <c r="P30" s="236"/>
      <c r="Y30" s="168"/>
    </row>
    <row r="31" ht="16.5" customHeight="1" outlineLevel="4" spans="2:25">
      <c r="B31" s="470" t="s">
        <v>1579</v>
      </c>
      <c r="C31" s="473"/>
      <c r="D31" s="474" t="s">
        <v>1580</v>
      </c>
      <c r="E31" s="290"/>
      <c r="F31" s="290" t="s">
        <v>862</v>
      </c>
      <c r="G31" s="478">
        <v>1.3</v>
      </c>
      <c r="H31" s="477" t="s">
        <v>1015</v>
      </c>
      <c r="I31" s="475">
        <v>0</v>
      </c>
      <c r="J31" s="200">
        <v>14</v>
      </c>
      <c r="K31" s="497">
        <v>0.11</v>
      </c>
      <c r="L31" s="496">
        <v>0</v>
      </c>
      <c r="M31" s="496">
        <v>0</v>
      </c>
      <c r="N31" s="498">
        <v>0</v>
      </c>
      <c r="O31" s="499" t="e">
        <v>#DIV/0!</v>
      </c>
      <c r="P31" s="236"/>
      <c r="Y31" s="168"/>
    </row>
    <row r="32" ht="16.5" customHeight="1" outlineLevel="4" spans="2:25">
      <c r="B32" s="470" t="s">
        <v>1581</v>
      </c>
      <c r="C32" s="473"/>
      <c r="D32" s="474" t="s">
        <v>1582</v>
      </c>
      <c r="E32" s="290"/>
      <c r="F32" s="290" t="s">
        <v>601</v>
      </c>
      <c r="G32" s="478">
        <v>3.91</v>
      </c>
      <c r="H32" s="477" t="s">
        <v>1015</v>
      </c>
      <c r="I32" s="475">
        <v>0</v>
      </c>
      <c r="J32" s="200">
        <v>17</v>
      </c>
      <c r="K32" s="497">
        <v>0.11</v>
      </c>
      <c r="L32" s="496">
        <v>0</v>
      </c>
      <c r="M32" s="496">
        <v>0</v>
      </c>
      <c r="N32" s="498">
        <v>0</v>
      </c>
      <c r="O32" s="499" t="e">
        <v>#DIV/0!</v>
      </c>
      <c r="P32" s="236"/>
      <c r="Y32" s="168"/>
    </row>
    <row r="33" ht="16.5" customHeight="1" outlineLevel="3" spans="2:25">
      <c r="B33" s="470" t="s">
        <v>1583</v>
      </c>
      <c r="C33" s="473" t="s">
        <v>622</v>
      </c>
      <c r="D33" s="474" t="s">
        <v>1584</v>
      </c>
      <c r="E33" s="479" t="s">
        <v>1357</v>
      </c>
      <c r="F33" s="479"/>
      <c r="G33" s="478"/>
      <c r="H33" s="477"/>
      <c r="I33" s="200"/>
      <c r="J33" s="200"/>
      <c r="K33" s="41"/>
      <c r="L33" s="498">
        <v>0</v>
      </c>
      <c r="M33" s="498">
        <v>0</v>
      </c>
      <c r="N33" s="498">
        <v>0</v>
      </c>
      <c r="O33" s="499" t="e">
        <v>#DIV/0!</v>
      </c>
      <c r="P33" s="236"/>
      <c r="Y33" s="168"/>
    </row>
    <row r="34" ht="16.5" customHeight="1" outlineLevel="4" spans="2:25">
      <c r="B34" s="470" t="s">
        <v>1585</v>
      </c>
      <c r="C34" s="473"/>
      <c r="D34" s="474" t="s">
        <v>1586</v>
      </c>
      <c r="E34" s="290"/>
      <c r="F34" s="290" t="s">
        <v>862</v>
      </c>
      <c r="G34" s="478">
        <v>1.3</v>
      </c>
      <c r="H34" s="477" t="s">
        <v>1015</v>
      </c>
      <c r="I34" s="475">
        <v>0</v>
      </c>
      <c r="J34" s="200">
        <v>54</v>
      </c>
      <c r="K34" s="497">
        <v>0.17</v>
      </c>
      <c r="L34" s="496">
        <v>0</v>
      </c>
      <c r="M34" s="496">
        <v>0</v>
      </c>
      <c r="N34" s="498">
        <v>0</v>
      </c>
      <c r="O34" s="499" t="e">
        <v>#DIV/0!</v>
      </c>
      <c r="P34" s="236"/>
      <c r="Y34" s="168"/>
    </row>
    <row r="35" ht="16.5" customHeight="1" outlineLevel="4" spans="2:25">
      <c r="B35" s="470" t="s">
        <v>1587</v>
      </c>
      <c r="C35" s="473"/>
      <c r="D35" s="474" t="s">
        <v>1588</v>
      </c>
      <c r="E35" s="290"/>
      <c r="F35" s="290" t="s">
        <v>601</v>
      </c>
      <c r="G35" s="478">
        <v>3.91</v>
      </c>
      <c r="H35" s="477" t="s">
        <v>1015</v>
      </c>
      <c r="I35" s="475">
        <v>0</v>
      </c>
      <c r="J35" s="200">
        <v>4.3</v>
      </c>
      <c r="K35" s="497">
        <v>0.17</v>
      </c>
      <c r="L35" s="496">
        <v>0</v>
      </c>
      <c r="M35" s="496">
        <v>0</v>
      </c>
      <c r="N35" s="498">
        <v>0</v>
      </c>
      <c r="O35" s="499" t="e">
        <v>#DIV/0!</v>
      </c>
      <c r="P35" s="236"/>
      <c r="Y35" s="168"/>
    </row>
    <row r="36" ht="16.5" customHeight="1" outlineLevel="4" spans="2:25">
      <c r="B36" s="470" t="s">
        <v>1589</v>
      </c>
      <c r="C36" s="473"/>
      <c r="D36" s="474" t="s">
        <v>1929</v>
      </c>
      <c r="E36" s="290"/>
      <c r="F36" s="290" t="s">
        <v>601</v>
      </c>
      <c r="G36" s="255">
        <v>19.89</v>
      </c>
      <c r="H36" s="477" t="s">
        <v>1015</v>
      </c>
      <c r="I36" s="475">
        <v>0</v>
      </c>
      <c r="J36" s="200">
        <v>6.8</v>
      </c>
      <c r="K36" s="497">
        <v>0.17</v>
      </c>
      <c r="L36" s="496">
        <v>0</v>
      </c>
      <c r="M36" s="496">
        <v>0</v>
      </c>
      <c r="N36" s="498">
        <v>0</v>
      </c>
      <c r="O36" s="499" t="e">
        <v>#DIV/0!</v>
      </c>
      <c r="P36" s="236"/>
      <c r="Y36" s="168"/>
    </row>
    <row r="37" ht="16.5" customHeight="1" outlineLevel="4" spans="2:25">
      <c r="B37" s="470" t="s">
        <v>1591</v>
      </c>
      <c r="C37" s="473"/>
      <c r="D37" s="474" t="s">
        <v>1930</v>
      </c>
      <c r="E37" s="290"/>
      <c r="F37" s="290" t="s">
        <v>601</v>
      </c>
      <c r="G37" s="255">
        <v>14.62</v>
      </c>
      <c r="H37" s="477" t="s">
        <v>1015</v>
      </c>
      <c r="I37" s="475">
        <v>0</v>
      </c>
      <c r="J37" s="200">
        <v>20</v>
      </c>
      <c r="K37" s="497">
        <v>0.17</v>
      </c>
      <c r="L37" s="496">
        <v>0</v>
      </c>
      <c r="M37" s="496">
        <v>0</v>
      </c>
      <c r="N37" s="498">
        <v>0</v>
      </c>
      <c r="O37" s="499" t="e">
        <v>#DIV/0!</v>
      </c>
      <c r="P37" s="236"/>
      <c r="Y37" s="168"/>
    </row>
    <row r="38" ht="16.5" customHeight="1" outlineLevel="4" spans="2:25">
      <c r="B38" s="470" t="s">
        <v>1593</v>
      </c>
      <c r="C38" s="473"/>
      <c r="D38" s="474" t="s">
        <v>1931</v>
      </c>
      <c r="E38" s="290"/>
      <c r="F38" s="290" t="s">
        <v>601</v>
      </c>
      <c r="G38" s="255">
        <v>21.42</v>
      </c>
      <c r="H38" s="477" t="s">
        <v>1015</v>
      </c>
      <c r="I38" s="475">
        <v>0</v>
      </c>
      <c r="J38" s="200">
        <v>6.8</v>
      </c>
      <c r="K38" s="497">
        <v>0.17</v>
      </c>
      <c r="L38" s="496">
        <v>0</v>
      </c>
      <c r="M38" s="496">
        <v>0</v>
      </c>
      <c r="N38" s="498">
        <v>0</v>
      </c>
      <c r="O38" s="499" t="e">
        <v>#DIV/0!</v>
      </c>
      <c r="P38" s="236"/>
      <c r="Y38" s="168"/>
    </row>
    <row r="39" ht="16.5" customHeight="1" outlineLevel="3" spans="2:25">
      <c r="B39" s="470" t="s">
        <v>1595</v>
      </c>
      <c r="C39" s="473" t="s">
        <v>622</v>
      </c>
      <c r="D39" s="474" t="s">
        <v>1596</v>
      </c>
      <c r="E39" s="479" t="s">
        <v>1358</v>
      </c>
      <c r="F39" s="479"/>
      <c r="G39" s="478"/>
      <c r="H39" s="477"/>
      <c r="I39" s="200"/>
      <c r="J39" s="200"/>
      <c r="K39" s="41"/>
      <c r="L39" s="498">
        <v>0</v>
      </c>
      <c r="M39" s="498">
        <v>0</v>
      </c>
      <c r="N39" s="498">
        <v>0</v>
      </c>
      <c r="O39" s="499" t="e">
        <v>#DIV/0!</v>
      </c>
      <c r="P39" s="236"/>
      <c r="Y39" s="168"/>
    </row>
    <row r="40" ht="16.5" customHeight="1" outlineLevel="4" spans="2:25">
      <c r="B40" s="470" t="s">
        <v>1597</v>
      </c>
      <c r="C40" s="473"/>
      <c r="D40" s="474" t="s">
        <v>1932</v>
      </c>
      <c r="E40" s="290"/>
      <c r="F40" s="290" t="s">
        <v>601</v>
      </c>
      <c r="G40" s="255">
        <v>19.89</v>
      </c>
      <c r="H40" s="477" t="s">
        <v>1015</v>
      </c>
      <c r="I40" s="475">
        <v>0</v>
      </c>
      <c r="J40" s="200">
        <v>16.2</v>
      </c>
      <c r="K40" s="497">
        <v>0.11</v>
      </c>
      <c r="L40" s="496">
        <v>0</v>
      </c>
      <c r="M40" s="496">
        <v>0</v>
      </c>
      <c r="N40" s="498">
        <v>0</v>
      </c>
      <c r="O40" s="499" t="e">
        <v>#DIV/0!</v>
      </c>
      <c r="P40" s="236"/>
      <c r="Y40" s="168"/>
    </row>
    <row r="41" ht="16.5" customHeight="1" outlineLevel="4" spans="2:25">
      <c r="B41" s="470" t="s">
        <v>1599</v>
      </c>
      <c r="C41" s="473"/>
      <c r="D41" s="474" t="s">
        <v>1933</v>
      </c>
      <c r="E41" s="290"/>
      <c r="F41" s="290" t="s">
        <v>601</v>
      </c>
      <c r="G41" s="255">
        <v>14.62</v>
      </c>
      <c r="H41" s="477" t="s">
        <v>1015</v>
      </c>
      <c r="I41" s="475">
        <v>0</v>
      </c>
      <c r="J41" s="200">
        <v>46.5</v>
      </c>
      <c r="K41" s="497">
        <v>0.11</v>
      </c>
      <c r="L41" s="496">
        <v>0</v>
      </c>
      <c r="M41" s="496">
        <v>0</v>
      </c>
      <c r="N41" s="498">
        <v>0</v>
      </c>
      <c r="O41" s="499" t="e">
        <v>#DIV/0!</v>
      </c>
      <c r="P41" s="236"/>
      <c r="Y41" s="168"/>
    </row>
    <row r="42" ht="16.5" customHeight="1" outlineLevel="4" spans="2:25">
      <c r="B42" s="470" t="s">
        <v>1601</v>
      </c>
      <c r="C42" s="473"/>
      <c r="D42" s="474" t="s">
        <v>1934</v>
      </c>
      <c r="E42" s="290"/>
      <c r="F42" s="290" t="s">
        <v>601</v>
      </c>
      <c r="G42" s="255">
        <v>21.42</v>
      </c>
      <c r="H42" s="477" t="s">
        <v>1015</v>
      </c>
      <c r="I42" s="475">
        <v>0</v>
      </c>
      <c r="J42" s="200">
        <v>16.2</v>
      </c>
      <c r="K42" s="497">
        <v>0.11</v>
      </c>
      <c r="L42" s="496">
        <v>0</v>
      </c>
      <c r="M42" s="496">
        <v>0</v>
      </c>
      <c r="N42" s="498">
        <v>0</v>
      </c>
      <c r="O42" s="499" t="e">
        <v>#DIV/0!</v>
      </c>
      <c r="P42" s="236"/>
      <c r="Y42" s="168"/>
    </row>
    <row r="43" ht="16.5" customHeight="1" outlineLevel="3" spans="2:25">
      <c r="B43" s="470" t="s">
        <v>1603</v>
      </c>
      <c r="C43" s="473" t="s">
        <v>622</v>
      </c>
      <c r="D43" s="474" t="s">
        <v>1604</v>
      </c>
      <c r="E43" s="290" t="s">
        <v>774</v>
      </c>
      <c r="F43" s="290" t="s">
        <v>1537</v>
      </c>
      <c r="G43" s="478"/>
      <c r="H43" s="477"/>
      <c r="I43" s="475"/>
      <c r="J43" s="200">
        <v>0</v>
      </c>
      <c r="K43" s="497"/>
      <c r="L43" s="498">
        <v>0</v>
      </c>
      <c r="M43" s="498">
        <v>0</v>
      </c>
      <c r="N43" s="498">
        <v>0</v>
      </c>
      <c r="O43" s="499" t="e">
        <v>#DIV/0!</v>
      </c>
      <c r="P43" s="236"/>
      <c r="Y43" s="168"/>
    </row>
    <row r="44" ht="16.5" customHeight="1" outlineLevel="4" spans="2:25">
      <c r="B44" s="470" t="s">
        <v>1605</v>
      </c>
      <c r="C44" s="473"/>
      <c r="D44" s="474" t="s">
        <v>1935</v>
      </c>
      <c r="E44" s="290"/>
      <c r="F44" s="290" t="s">
        <v>1537</v>
      </c>
      <c r="G44" s="478">
        <v>1</v>
      </c>
      <c r="H44" s="477" t="s">
        <v>1015</v>
      </c>
      <c r="I44" s="475">
        <v>0</v>
      </c>
      <c r="J44" s="200">
        <v>40.54</v>
      </c>
      <c r="K44" s="497">
        <v>0.11</v>
      </c>
      <c r="L44" s="496">
        <v>0</v>
      </c>
      <c r="M44" s="496">
        <v>0</v>
      </c>
      <c r="N44" s="498">
        <v>0</v>
      </c>
      <c r="O44" s="499" t="e">
        <v>#DIV/0!</v>
      </c>
      <c r="P44" s="236"/>
      <c r="Y44" s="168"/>
    </row>
    <row r="45" ht="16.5" customHeight="1" outlineLevel="4" spans="2:25">
      <c r="B45" s="470" t="s">
        <v>1607</v>
      </c>
      <c r="C45" s="473"/>
      <c r="D45" s="474" t="s">
        <v>1936</v>
      </c>
      <c r="E45" s="290"/>
      <c r="F45" s="290" t="s">
        <v>1537</v>
      </c>
      <c r="G45" s="478"/>
      <c r="H45" s="477" t="s">
        <v>1015</v>
      </c>
      <c r="I45" s="475">
        <v>0</v>
      </c>
      <c r="J45" s="200">
        <v>9.00900900900901</v>
      </c>
      <c r="K45" s="497">
        <v>0.11</v>
      </c>
      <c r="L45" s="496">
        <v>0</v>
      </c>
      <c r="M45" s="496">
        <v>0</v>
      </c>
      <c r="N45" s="498">
        <v>0</v>
      </c>
      <c r="O45" s="499" t="e">
        <v>#DIV/0!</v>
      </c>
      <c r="P45" s="236"/>
      <c r="Y45" s="168"/>
    </row>
    <row r="46" ht="16.5" customHeight="1" outlineLevel="4" spans="2:25">
      <c r="B46" s="470" t="s">
        <v>1609</v>
      </c>
      <c r="C46" s="473"/>
      <c r="D46" s="474" t="s">
        <v>1937</v>
      </c>
      <c r="E46" s="290"/>
      <c r="F46" s="290" t="s">
        <v>1537</v>
      </c>
      <c r="G46" s="478"/>
      <c r="H46" s="477" t="s">
        <v>1015</v>
      </c>
      <c r="I46" s="475">
        <v>0</v>
      </c>
      <c r="J46" s="200">
        <v>34.2342342342342</v>
      </c>
      <c r="K46" s="497">
        <v>0.11</v>
      </c>
      <c r="L46" s="496">
        <v>0</v>
      </c>
      <c r="M46" s="496">
        <v>0</v>
      </c>
      <c r="N46" s="498">
        <v>0</v>
      </c>
      <c r="O46" s="499" t="e">
        <v>#DIV/0!</v>
      </c>
      <c r="P46" s="236"/>
      <c r="Y46" s="168"/>
    </row>
    <row r="47" ht="16.5" customHeight="1" outlineLevel="4" spans="2:25">
      <c r="B47" s="470" t="s">
        <v>1611</v>
      </c>
      <c r="C47" s="473"/>
      <c r="D47" s="474" t="s">
        <v>1938</v>
      </c>
      <c r="E47" s="290"/>
      <c r="F47" s="290" t="s">
        <v>1537</v>
      </c>
      <c r="G47" s="478"/>
      <c r="H47" s="477" t="s">
        <v>1015</v>
      </c>
      <c r="I47" s="475">
        <v>0</v>
      </c>
      <c r="J47" s="200">
        <v>39.6396396396396</v>
      </c>
      <c r="K47" s="497">
        <v>0.11</v>
      </c>
      <c r="L47" s="496">
        <v>0</v>
      </c>
      <c r="M47" s="496">
        <v>0</v>
      </c>
      <c r="N47" s="498">
        <v>0</v>
      </c>
      <c r="O47" s="499" t="e">
        <v>#DIV/0!</v>
      </c>
      <c r="P47" s="236"/>
      <c r="Y47" s="168"/>
    </row>
    <row r="48" ht="16.5" customHeight="1" outlineLevel="4" spans="2:25">
      <c r="B48" s="470" t="s">
        <v>1613</v>
      </c>
      <c r="C48" s="473"/>
      <c r="D48" s="474" t="s">
        <v>1614</v>
      </c>
      <c r="E48" s="290"/>
      <c r="F48" s="290" t="s">
        <v>1537</v>
      </c>
      <c r="G48" s="478">
        <v>1</v>
      </c>
      <c r="H48" s="477" t="s">
        <v>1015</v>
      </c>
      <c r="I48" s="475">
        <v>0</v>
      </c>
      <c r="J48" s="200">
        <v>145</v>
      </c>
      <c r="K48" s="497">
        <v>0.11</v>
      </c>
      <c r="L48" s="496">
        <v>0</v>
      </c>
      <c r="M48" s="496">
        <v>0</v>
      </c>
      <c r="N48" s="498">
        <v>0</v>
      </c>
      <c r="O48" s="499" t="e">
        <v>#DIV/0!</v>
      </c>
      <c r="P48" s="236"/>
      <c r="Y48" s="168"/>
    </row>
    <row r="49" ht="16.5" customHeight="1" outlineLevel="3" spans="2:25">
      <c r="B49" s="470" t="s">
        <v>1615</v>
      </c>
      <c r="C49" s="473" t="s">
        <v>622</v>
      </c>
      <c r="D49" s="474" t="s">
        <v>1616</v>
      </c>
      <c r="E49" s="479" t="s">
        <v>774</v>
      </c>
      <c r="F49" s="479"/>
      <c r="G49" s="478"/>
      <c r="H49" s="477"/>
      <c r="I49" s="475"/>
      <c r="J49" s="200">
        <v>0</v>
      </c>
      <c r="K49" s="497"/>
      <c r="L49" s="498">
        <v>0</v>
      </c>
      <c r="M49" s="498">
        <v>0</v>
      </c>
      <c r="N49" s="498">
        <v>0</v>
      </c>
      <c r="O49" s="499" t="e">
        <v>#DIV/0!</v>
      </c>
      <c r="P49" s="236"/>
      <c r="Y49" s="168"/>
    </row>
    <row r="50" ht="16.5" customHeight="1" outlineLevel="4" spans="2:25">
      <c r="B50" s="470" t="s">
        <v>1617</v>
      </c>
      <c r="C50" s="473"/>
      <c r="D50" s="474" t="s">
        <v>1618</v>
      </c>
      <c r="E50" s="290"/>
      <c r="F50" s="290" t="s">
        <v>1537</v>
      </c>
      <c r="G50" s="478">
        <v>1.1</v>
      </c>
      <c r="H50" s="477" t="s">
        <v>1015</v>
      </c>
      <c r="I50" s="475">
        <v>0</v>
      </c>
      <c r="J50" s="200">
        <v>58.56</v>
      </c>
      <c r="K50" s="497">
        <v>0.11</v>
      </c>
      <c r="L50" s="496">
        <v>0</v>
      </c>
      <c r="M50" s="496">
        <v>0</v>
      </c>
      <c r="N50" s="498">
        <v>0</v>
      </c>
      <c r="O50" s="499" t="e">
        <v>#DIV/0!</v>
      </c>
      <c r="P50" s="236"/>
      <c r="Y50" s="168"/>
    </row>
    <row r="51" ht="16.5" customHeight="1" outlineLevel="4" spans="2:25">
      <c r="B51" s="470"/>
      <c r="C51" s="473"/>
      <c r="D51" s="474" t="s">
        <v>1620</v>
      </c>
      <c r="E51" s="290"/>
      <c r="F51" s="479" t="s">
        <v>862</v>
      </c>
      <c r="G51" s="478">
        <v>1</v>
      </c>
      <c r="H51" s="477" t="s">
        <v>1015</v>
      </c>
      <c r="I51" s="475">
        <v>0</v>
      </c>
      <c r="J51" s="475">
        <v>19.82</v>
      </c>
      <c r="K51" s="497">
        <v>0.11</v>
      </c>
      <c r="L51" s="496">
        <v>0</v>
      </c>
      <c r="M51" s="496">
        <v>0</v>
      </c>
      <c r="N51" s="498">
        <v>0</v>
      </c>
      <c r="O51" s="499" t="e">
        <v>#DIV/0!</v>
      </c>
      <c r="P51" s="236"/>
      <c r="Y51" s="168"/>
    </row>
    <row r="52" ht="16.5" customHeight="1" outlineLevel="4" spans="2:25">
      <c r="B52" s="470" t="s">
        <v>1619</v>
      </c>
      <c r="C52" s="473"/>
      <c r="D52" s="474" t="s">
        <v>1624</v>
      </c>
      <c r="E52" s="479"/>
      <c r="F52" s="479" t="s">
        <v>862</v>
      </c>
      <c r="G52" s="478">
        <v>1</v>
      </c>
      <c r="H52" s="477" t="s">
        <v>655</v>
      </c>
      <c r="I52" s="475">
        <v>0</v>
      </c>
      <c r="J52" s="475">
        <v>17</v>
      </c>
      <c r="K52" s="497">
        <v>0.11</v>
      </c>
      <c r="L52" s="496">
        <v>0</v>
      </c>
      <c r="M52" s="496">
        <v>0</v>
      </c>
      <c r="N52" s="498">
        <v>0</v>
      </c>
      <c r="O52" s="499" t="e">
        <v>#DIV/0!</v>
      </c>
      <c r="P52" s="236"/>
      <c r="Y52" s="168"/>
    </row>
    <row r="53" ht="16.5" customHeight="1" outlineLevel="3" spans="2:25">
      <c r="B53" s="470" t="s">
        <v>1625</v>
      </c>
      <c r="C53" s="473" t="s">
        <v>622</v>
      </c>
      <c r="D53" s="474" t="s">
        <v>1626</v>
      </c>
      <c r="E53" s="479" t="s">
        <v>774</v>
      </c>
      <c r="F53" s="479"/>
      <c r="G53" s="478"/>
      <c r="H53" s="477"/>
      <c r="I53" s="200"/>
      <c r="J53" s="200">
        <v>0</v>
      </c>
      <c r="K53" s="41"/>
      <c r="L53" s="498">
        <v>0</v>
      </c>
      <c r="M53" s="498">
        <v>0</v>
      </c>
      <c r="N53" s="498">
        <v>0</v>
      </c>
      <c r="O53" s="499" t="e">
        <v>#DIV/0!</v>
      </c>
      <c r="P53" s="236"/>
      <c r="Y53" s="168"/>
    </row>
    <row r="54" ht="16.5" customHeight="1" outlineLevel="4" spans="2:25">
      <c r="B54" s="470" t="s">
        <v>1627</v>
      </c>
      <c r="C54" s="473"/>
      <c r="D54" s="474" t="s">
        <v>1628</v>
      </c>
      <c r="E54" s="290"/>
      <c r="F54" s="290" t="s">
        <v>1537</v>
      </c>
      <c r="G54" s="478"/>
      <c r="H54" s="477" t="s">
        <v>1015</v>
      </c>
      <c r="I54" s="475">
        <v>0</v>
      </c>
      <c r="J54" s="200">
        <v>43</v>
      </c>
      <c r="K54" s="497">
        <v>0.17</v>
      </c>
      <c r="L54" s="496">
        <v>0</v>
      </c>
      <c r="M54" s="496">
        <v>0</v>
      </c>
      <c r="N54" s="498">
        <v>0</v>
      </c>
      <c r="O54" s="499" t="e">
        <v>#DIV/0!</v>
      </c>
      <c r="P54" s="236"/>
      <c r="Y54" s="168"/>
    </row>
    <row r="55" ht="16.5" customHeight="1" outlineLevel="4" spans="2:25">
      <c r="B55" s="470"/>
      <c r="C55" s="473"/>
      <c r="D55" s="474" t="s">
        <v>1630</v>
      </c>
      <c r="E55" s="290"/>
      <c r="F55" s="479" t="s">
        <v>862</v>
      </c>
      <c r="G55" s="478">
        <v>1</v>
      </c>
      <c r="H55" s="477" t="s">
        <v>1015</v>
      </c>
      <c r="I55" s="475">
        <v>0</v>
      </c>
      <c r="J55" s="475">
        <v>45</v>
      </c>
      <c r="K55" s="497">
        <v>0.17</v>
      </c>
      <c r="L55" s="496">
        <v>0</v>
      </c>
      <c r="M55" s="496">
        <v>0</v>
      </c>
      <c r="N55" s="498">
        <v>0</v>
      </c>
      <c r="O55" s="499" t="e">
        <v>#DIV/0!</v>
      </c>
      <c r="P55" s="236"/>
      <c r="Y55" s="168"/>
    </row>
    <row r="56" ht="16.5" customHeight="1" outlineLevel="4" spans="2:25">
      <c r="B56" s="470" t="s">
        <v>1629</v>
      </c>
      <c r="C56" s="473"/>
      <c r="D56" s="474" t="s">
        <v>1634</v>
      </c>
      <c r="E56" s="479"/>
      <c r="F56" s="479" t="s">
        <v>862</v>
      </c>
      <c r="G56" s="478">
        <v>1</v>
      </c>
      <c r="H56" s="477" t="s">
        <v>655</v>
      </c>
      <c r="I56" s="475">
        <v>0</v>
      </c>
      <c r="J56" s="475">
        <v>35</v>
      </c>
      <c r="K56" s="497">
        <v>0.17</v>
      </c>
      <c r="L56" s="496">
        <v>0</v>
      </c>
      <c r="M56" s="496">
        <v>0</v>
      </c>
      <c r="N56" s="498">
        <v>0</v>
      </c>
      <c r="O56" s="499" t="e">
        <v>#DIV/0!</v>
      </c>
      <c r="P56" s="236"/>
      <c r="Y56" s="168"/>
    </row>
    <row r="57" ht="16.5" customHeight="1" outlineLevel="3" spans="2:25">
      <c r="B57" s="470" t="s">
        <v>1635</v>
      </c>
      <c r="C57" s="473" t="s">
        <v>622</v>
      </c>
      <c r="D57" s="474" t="s">
        <v>1636</v>
      </c>
      <c r="E57" s="479" t="s">
        <v>774</v>
      </c>
      <c r="F57" s="479" t="s">
        <v>601</v>
      </c>
      <c r="G57" s="478">
        <v>3</v>
      </c>
      <c r="H57" s="477" t="s">
        <v>1637</v>
      </c>
      <c r="I57" s="200">
        <v>0</v>
      </c>
      <c r="J57" s="200">
        <v>100</v>
      </c>
      <c r="K57" s="41">
        <v>0.11</v>
      </c>
      <c r="L57" s="496">
        <v>0</v>
      </c>
      <c r="M57" s="496">
        <v>0</v>
      </c>
      <c r="N57" s="498">
        <v>0</v>
      </c>
      <c r="O57" s="499" t="e">
        <v>#DIV/0!</v>
      </c>
      <c r="P57" s="236"/>
      <c r="Y57" s="168"/>
    </row>
    <row r="58" ht="16.5" customHeight="1" outlineLevel="3" spans="2:25">
      <c r="B58" s="470" t="s">
        <v>1638</v>
      </c>
      <c r="C58" s="473" t="s">
        <v>622</v>
      </c>
      <c r="D58" s="474" t="s">
        <v>1639</v>
      </c>
      <c r="E58" s="290" t="s">
        <v>774</v>
      </c>
      <c r="F58" s="290" t="s">
        <v>1537</v>
      </c>
      <c r="G58" s="478">
        <v>1</v>
      </c>
      <c r="H58" s="477" t="s">
        <v>655</v>
      </c>
      <c r="I58" s="475">
        <v>0</v>
      </c>
      <c r="J58" s="200">
        <v>9</v>
      </c>
      <c r="K58" s="497">
        <v>0.11</v>
      </c>
      <c r="L58" s="496">
        <v>0</v>
      </c>
      <c r="M58" s="496">
        <v>0</v>
      </c>
      <c r="N58" s="498">
        <v>0</v>
      </c>
      <c r="O58" s="499" t="e">
        <v>#DIV/0!</v>
      </c>
      <c r="P58" s="236"/>
      <c r="Y58" s="168"/>
    </row>
    <row r="59" ht="16.5" customHeight="1" outlineLevel="3" spans="2:25">
      <c r="B59" s="470" t="s">
        <v>1640</v>
      </c>
      <c r="C59" s="473" t="s">
        <v>622</v>
      </c>
      <c r="D59" s="474" t="s">
        <v>1641</v>
      </c>
      <c r="E59" s="479" t="s">
        <v>774</v>
      </c>
      <c r="F59" s="479"/>
      <c r="G59" s="478"/>
      <c r="H59" s="477"/>
      <c r="I59" s="200"/>
      <c r="J59" s="200">
        <v>0</v>
      </c>
      <c r="K59" s="41">
        <v>0.11</v>
      </c>
      <c r="L59" s="496">
        <v>0</v>
      </c>
      <c r="M59" s="496">
        <v>0</v>
      </c>
      <c r="N59" s="498">
        <v>0</v>
      </c>
      <c r="O59" s="499" t="e">
        <v>#DIV/0!</v>
      </c>
      <c r="P59" s="236"/>
      <c r="Y59" s="168"/>
    </row>
    <row r="60" ht="20.25" customHeight="1" outlineLevel="3" spans="2:25">
      <c r="B60" s="470" t="s">
        <v>1642</v>
      </c>
      <c r="C60" s="473" t="s">
        <v>622</v>
      </c>
      <c r="D60" s="474" t="s">
        <v>1643</v>
      </c>
      <c r="E60" s="479" t="s">
        <v>774</v>
      </c>
      <c r="F60" s="479"/>
      <c r="G60" s="478"/>
      <c r="H60" s="477"/>
      <c r="I60" s="200"/>
      <c r="J60" s="200">
        <v>0</v>
      </c>
      <c r="K60" s="41"/>
      <c r="L60" s="498">
        <v>0</v>
      </c>
      <c r="M60" s="498">
        <v>0</v>
      </c>
      <c r="N60" s="498">
        <v>0</v>
      </c>
      <c r="O60" s="499" t="e">
        <v>#DIV/0!</v>
      </c>
      <c r="P60" s="236"/>
      <c r="Y60" s="168"/>
    </row>
    <row r="61" ht="18" customHeight="1" outlineLevel="4" spans="2:25">
      <c r="B61" s="470" t="s">
        <v>1644</v>
      </c>
      <c r="C61" s="473"/>
      <c r="D61" s="474" t="s">
        <v>1645</v>
      </c>
      <c r="E61" s="479"/>
      <c r="F61" s="479" t="s">
        <v>505</v>
      </c>
      <c r="G61" s="478"/>
      <c r="H61" s="477" t="s">
        <v>655</v>
      </c>
      <c r="I61" s="475">
        <v>0</v>
      </c>
      <c r="J61" s="200">
        <v>7.45045045045045</v>
      </c>
      <c r="K61" s="497">
        <v>0.11</v>
      </c>
      <c r="L61" s="496">
        <v>0</v>
      </c>
      <c r="M61" s="496">
        <v>0</v>
      </c>
      <c r="N61" s="498">
        <v>0</v>
      </c>
      <c r="O61" s="499" t="e">
        <v>#DIV/0!</v>
      </c>
      <c r="P61" s="236"/>
      <c r="Y61" s="168"/>
    </row>
    <row r="62" ht="16.5" customHeight="1" outlineLevel="4" spans="2:25">
      <c r="B62" s="470" t="s">
        <v>1646</v>
      </c>
      <c r="C62" s="473"/>
      <c r="D62" s="474" t="s">
        <v>1647</v>
      </c>
      <c r="E62" s="290"/>
      <c r="F62" s="290" t="s">
        <v>1537</v>
      </c>
      <c r="G62" s="478"/>
      <c r="H62" s="477" t="s">
        <v>655</v>
      </c>
      <c r="I62" s="475">
        <v>0</v>
      </c>
      <c r="J62" s="200">
        <v>22.5225225225225</v>
      </c>
      <c r="K62" s="497">
        <v>0.11</v>
      </c>
      <c r="L62" s="496">
        <v>0</v>
      </c>
      <c r="M62" s="496">
        <v>0</v>
      </c>
      <c r="N62" s="498">
        <v>0</v>
      </c>
      <c r="O62" s="499" t="e">
        <v>#DIV/0!</v>
      </c>
      <c r="P62" s="236"/>
      <c r="Y62" s="168"/>
    </row>
    <row r="63" ht="16.5" customHeight="1" outlineLevel="4" spans="2:25">
      <c r="B63" s="470" t="s">
        <v>1648</v>
      </c>
      <c r="C63" s="473"/>
      <c r="D63" s="474" t="s">
        <v>1649</v>
      </c>
      <c r="E63" s="290"/>
      <c r="F63" s="290" t="s">
        <v>1537</v>
      </c>
      <c r="G63" s="478"/>
      <c r="H63" s="477" t="s">
        <v>655</v>
      </c>
      <c r="I63" s="475">
        <v>0</v>
      </c>
      <c r="J63" s="200">
        <v>27.027027027027</v>
      </c>
      <c r="K63" s="497">
        <v>0.11</v>
      </c>
      <c r="L63" s="496">
        <v>0</v>
      </c>
      <c r="M63" s="496">
        <v>0</v>
      </c>
      <c r="N63" s="498">
        <v>0</v>
      </c>
      <c r="O63" s="499" t="e">
        <v>#DIV/0!</v>
      </c>
      <c r="P63" s="236"/>
      <c r="Y63" s="168"/>
    </row>
    <row r="64" ht="16.5" customHeight="1" outlineLevel="1" spans="2:25">
      <c r="B64" s="121" t="s">
        <v>537</v>
      </c>
      <c r="C64" s="193">
        <v>2</v>
      </c>
      <c r="D64" s="121" t="s">
        <v>538</v>
      </c>
      <c r="E64" s="193"/>
      <c r="F64" s="193"/>
      <c r="G64" s="193"/>
      <c r="H64" s="155"/>
      <c r="I64" s="492"/>
      <c r="J64" s="155"/>
      <c r="K64" s="493"/>
      <c r="L64" s="494">
        <v>0</v>
      </c>
      <c r="M64" s="494">
        <v>0</v>
      </c>
      <c r="N64" s="494">
        <v>0</v>
      </c>
      <c r="O64" s="495" t="e">
        <v>#DIV/0!</v>
      </c>
      <c r="P64" s="233"/>
      <c r="Y64" s="168"/>
    </row>
    <row r="65" ht="16.5" customHeight="1" outlineLevel="2" spans="2:25">
      <c r="B65" s="470" t="s">
        <v>1650</v>
      </c>
      <c r="C65" s="471" t="s">
        <v>619</v>
      </c>
      <c r="D65" s="474" t="s">
        <v>1651</v>
      </c>
      <c r="E65" s="479"/>
      <c r="F65" s="479"/>
      <c r="G65" s="198"/>
      <c r="H65" s="108"/>
      <c r="I65" s="200"/>
      <c r="J65" s="200"/>
      <c r="K65" s="41"/>
      <c r="L65" s="498">
        <v>0</v>
      </c>
      <c r="M65" s="498">
        <v>0</v>
      </c>
      <c r="N65" s="498">
        <v>0</v>
      </c>
      <c r="O65" s="499" t="e">
        <v>#DIV/0!</v>
      </c>
      <c r="P65" s="236"/>
      <c r="Y65" s="168"/>
    </row>
    <row r="66" ht="16.5" customHeight="1" outlineLevel="3" spans="2:25">
      <c r="B66" s="470" t="s">
        <v>1652</v>
      </c>
      <c r="C66" s="473" t="s">
        <v>622</v>
      </c>
      <c r="D66" s="474" t="s">
        <v>1653</v>
      </c>
      <c r="E66" s="290" t="s">
        <v>774</v>
      </c>
      <c r="F66" s="290" t="s">
        <v>1537</v>
      </c>
      <c r="G66" s="200">
        <v>1</v>
      </c>
      <c r="H66" s="108" t="s">
        <v>655</v>
      </c>
      <c r="I66" s="475">
        <v>0</v>
      </c>
      <c r="J66" s="200">
        <v>25</v>
      </c>
      <c r="K66" s="497">
        <v>0.11</v>
      </c>
      <c r="L66" s="496">
        <v>0</v>
      </c>
      <c r="M66" s="496">
        <v>0</v>
      </c>
      <c r="N66" s="498">
        <v>0</v>
      </c>
      <c r="O66" s="499" t="e">
        <v>#DIV/0!</v>
      </c>
      <c r="P66" s="236"/>
      <c r="Y66" s="168"/>
    </row>
    <row r="67" ht="16.5" customHeight="1" outlineLevel="3" spans="2:25">
      <c r="B67" s="470" t="s">
        <v>1654</v>
      </c>
      <c r="C67" s="473" t="s">
        <v>622</v>
      </c>
      <c r="D67" s="474" t="s">
        <v>1655</v>
      </c>
      <c r="E67" s="479" t="s">
        <v>880</v>
      </c>
      <c r="F67" s="479" t="s">
        <v>601</v>
      </c>
      <c r="G67" s="200">
        <v>1</v>
      </c>
      <c r="H67" s="108" t="s">
        <v>655</v>
      </c>
      <c r="I67" s="200">
        <v>0</v>
      </c>
      <c r="J67" s="200">
        <v>590</v>
      </c>
      <c r="K67" s="41">
        <v>0.11</v>
      </c>
      <c r="L67" s="496">
        <v>0</v>
      </c>
      <c r="M67" s="496">
        <v>0</v>
      </c>
      <c r="N67" s="498">
        <v>0</v>
      </c>
      <c r="O67" s="499" t="e">
        <v>#DIV/0!</v>
      </c>
      <c r="P67" s="236"/>
      <c r="Y67" s="168"/>
    </row>
    <row r="68" ht="16.5" customHeight="1" outlineLevel="3" spans="2:25">
      <c r="B68" s="470" t="s">
        <v>1656</v>
      </c>
      <c r="C68" s="473" t="s">
        <v>622</v>
      </c>
      <c r="D68" s="474" t="s">
        <v>1657</v>
      </c>
      <c r="E68" s="479" t="s">
        <v>891</v>
      </c>
      <c r="F68" s="290" t="s">
        <v>1537</v>
      </c>
      <c r="G68" s="200">
        <v>1</v>
      </c>
      <c r="H68" s="108" t="s">
        <v>655</v>
      </c>
      <c r="I68" s="200">
        <v>0</v>
      </c>
      <c r="J68" s="200">
        <v>3</v>
      </c>
      <c r="K68" s="41">
        <v>0.17</v>
      </c>
      <c r="L68" s="496">
        <v>0</v>
      </c>
      <c r="M68" s="496">
        <v>0</v>
      </c>
      <c r="N68" s="498">
        <v>0</v>
      </c>
      <c r="O68" s="499" t="e">
        <v>#DIV/0!</v>
      </c>
      <c r="P68" s="236"/>
      <c r="Y68" s="168"/>
    </row>
    <row r="69" ht="16.5" customHeight="1" outlineLevel="3" spans="2:25">
      <c r="B69" s="470" t="s">
        <v>1658</v>
      </c>
      <c r="C69" s="473" t="s">
        <v>622</v>
      </c>
      <c r="D69" s="474" t="s">
        <v>1659</v>
      </c>
      <c r="E69" s="479" t="s">
        <v>891</v>
      </c>
      <c r="F69" s="290" t="s">
        <v>1537</v>
      </c>
      <c r="G69" s="200">
        <v>1</v>
      </c>
      <c r="H69" s="108" t="s">
        <v>655</v>
      </c>
      <c r="I69" s="200">
        <v>0</v>
      </c>
      <c r="J69" s="200">
        <v>5.56</v>
      </c>
      <c r="K69" s="41">
        <v>0.17</v>
      </c>
      <c r="L69" s="496">
        <v>0</v>
      </c>
      <c r="M69" s="496">
        <v>0</v>
      </c>
      <c r="N69" s="498">
        <v>0</v>
      </c>
      <c r="O69" s="499" t="e">
        <v>#DIV/0!</v>
      </c>
      <c r="P69" s="236"/>
      <c r="Y69" s="168"/>
    </row>
    <row r="70" ht="16.5" customHeight="1" outlineLevel="3" spans="2:25">
      <c r="B70" s="470" t="s">
        <v>1660</v>
      </c>
      <c r="C70" s="473" t="s">
        <v>622</v>
      </c>
      <c r="D70" s="474" t="s">
        <v>1661</v>
      </c>
      <c r="E70" s="479" t="s">
        <v>774</v>
      </c>
      <c r="F70" s="290" t="s">
        <v>1537</v>
      </c>
      <c r="G70" s="200">
        <v>1</v>
      </c>
      <c r="H70" s="108" t="s">
        <v>655</v>
      </c>
      <c r="I70" s="200">
        <v>0</v>
      </c>
      <c r="J70" s="475">
        <v>4.05</v>
      </c>
      <c r="K70" s="41">
        <v>0.11</v>
      </c>
      <c r="L70" s="496">
        <v>0</v>
      </c>
      <c r="M70" s="496">
        <v>0</v>
      </c>
      <c r="N70" s="498">
        <v>0</v>
      </c>
      <c r="O70" s="499" t="e">
        <v>#DIV/0!</v>
      </c>
      <c r="P70" s="236"/>
      <c r="Y70" s="168"/>
    </row>
    <row r="71" ht="16.5" customHeight="1" outlineLevel="3" spans="2:25">
      <c r="B71" s="470" t="s">
        <v>1662</v>
      </c>
      <c r="C71" s="473" t="s">
        <v>622</v>
      </c>
      <c r="D71" s="474" t="s">
        <v>1663</v>
      </c>
      <c r="E71" s="479"/>
      <c r="F71" s="479"/>
      <c r="G71" s="200">
        <v>1</v>
      </c>
      <c r="H71" s="108" t="s">
        <v>655</v>
      </c>
      <c r="I71" s="200"/>
      <c r="J71" s="200">
        <v>0</v>
      </c>
      <c r="K71" s="41">
        <v>0.11</v>
      </c>
      <c r="L71" s="496">
        <v>0</v>
      </c>
      <c r="M71" s="496">
        <v>0</v>
      </c>
      <c r="N71" s="498">
        <v>0</v>
      </c>
      <c r="O71" s="499" t="e">
        <v>#DIV/0!</v>
      </c>
      <c r="P71" s="236"/>
      <c r="Y71" s="168"/>
    </row>
    <row r="72" ht="16.5" customHeight="1" outlineLevel="3" spans="2:25">
      <c r="B72" s="470" t="s">
        <v>1664</v>
      </c>
      <c r="C72" s="473" t="s">
        <v>622</v>
      </c>
      <c r="D72" s="474" t="s">
        <v>1665</v>
      </c>
      <c r="E72" s="479" t="s">
        <v>774</v>
      </c>
      <c r="F72" s="479"/>
      <c r="G72" s="200">
        <v>1</v>
      </c>
      <c r="H72" s="108" t="s">
        <v>655</v>
      </c>
      <c r="I72" s="200"/>
      <c r="J72" s="200">
        <v>0</v>
      </c>
      <c r="K72" s="41">
        <v>0.11</v>
      </c>
      <c r="L72" s="496">
        <v>0</v>
      </c>
      <c r="M72" s="496">
        <v>0</v>
      </c>
      <c r="N72" s="498">
        <v>0</v>
      </c>
      <c r="O72" s="499" t="e">
        <v>#DIV/0!</v>
      </c>
      <c r="P72" s="236"/>
      <c r="Y72" s="168"/>
    </row>
    <row r="73" ht="16.5" customHeight="1" outlineLevel="3" spans="2:25">
      <c r="B73" s="470" t="s">
        <v>1666</v>
      </c>
      <c r="C73" s="473" t="s">
        <v>622</v>
      </c>
      <c r="D73" s="474" t="s">
        <v>1667</v>
      </c>
      <c r="E73" s="479" t="s">
        <v>913</v>
      </c>
      <c r="F73" s="479" t="s">
        <v>601</v>
      </c>
      <c r="G73" s="200"/>
      <c r="H73" s="108" t="s">
        <v>1668</v>
      </c>
      <c r="I73" s="200">
        <v>0</v>
      </c>
      <c r="J73" s="200">
        <v>2522.52252252252</v>
      </c>
      <c r="K73" s="41">
        <v>0.11</v>
      </c>
      <c r="L73" s="496">
        <v>0</v>
      </c>
      <c r="M73" s="496">
        <v>0</v>
      </c>
      <c r="N73" s="498">
        <v>0</v>
      </c>
      <c r="O73" s="499" t="e">
        <v>#DIV/0!</v>
      </c>
      <c r="P73" s="236"/>
      <c r="Y73" s="168"/>
    </row>
    <row r="74" ht="16.5" customHeight="1" outlineLevel="3" spans="2:25">
      <c r="B74" s="470" t="s">
        <v>1669</v>
      </c>
      <c r="C74" s="473" t="s">
        <v>622</v>
      </c>
      <c r="D74" s="474" t="s">
        <v>1670</v>
      </c>
      <c r="E74" s="290" t="s">
        <v>774</v>
      </c>
      <c r="F74" s="290" t="s">
        <v>1537</v>
      </c>
      <c r="G74" s="200">
        <v>1</v>
      </c>
      <c r="H74" s="108" t="s">
        <v>655</v>
      </c>
      <c r="I74" s="475">
        <v>0</v>
      </c>
      <c r="J74" s="200">
        <v>81</v>
      </c>
      <c r="K74" s="497">
        <v>0.11</v>
      </c>
      <c r="L74" s="496">
        <v>0</v>
      </c>
      <c r="M74" s="496">
        <v>0</v>
      </c>
      <c r="N74" s="498">
        <v>0</v>
      </c>
      <c r="O74" s="499" t="e">
        <v>#DIV/0!</v>
      </c>
      <c r="P74" s="236"/>
      <c r="Y74" s="168"/>
    </row>
    <row r="75" ht="16.5" customHeight="1" outlineLevel="3" spans="2:25">
      <c r="B75" s="470" t="s">
        <v>1671</v>
      </c>
      <c r="C75" s="473" t="s">
        <v>622</v>
      </c>
      <c r="D75" s="474" t="s">
        <v>1672</v>
      </c>
      <c r="E75" s="479" t="s">
        <v>891</v>
      </c>
      <c r="F75" s="290" t="s">
        <v>1537</v>
      </c>
      <c r="G75" s="502">
        <v>1</v>
      </c>
      <c r="H75" s="503" t="s">
        <v>655</v>
      </c>
      <c r="I75" s="200">
        <v>0</v>
      </c>
      <c r="J75" s="514">
        <v>8.55</v>
      </c>
      <c r="K75" s="41">
        <v>0.17</v>
      </c>
      <c r="L75" s="496">
        <v>0</v>
      </c>
      <c r="M75" s="496">
        <v>0</v>
      </c>
      <c r="N75" s="498">
        <v>0</v>
      </c>
      <c r="O75" s="499" t="e">
        <v>#DIV/0!</v>
      </c>
      <c r="P75" s="236"/>
      <c r="Y75" s="168"/>
    </row>
    <row r="76" ht="16.5" customHeight="1" outlineLevel="3" spans="2:25">
      <c r="B76" s="470" t="s">
        <v>1673</v>
      </c>
      <c r="C76" s="473" t="s">
        <v>622</v>
      </c>
      <c r="D76" s="474" t="s">
        <v>1674</v>
      </c>
      <c r="E76" s="479" t="s">
        <v>943</v>
      </c>
      <c r="F76" s="290" t="s">
        <v>1537</v>
      </c>
      <c r="G76" s="200">
        <v>1</v>
      </c>
      <c r="H76" s="503" t="s">
        <v>655</v>
      </c>
      <c r="I76" s="200">
        <v>0</v>
      </c>
      <c r="J76" s="200">
        <v>16.24</v>
      </c>
      <c r="K76" s="41">
        <v>0.17</v>
      </c>
      <c r="L76" s="496">
        <v>0</v>
      </c>
      <c r="M76" s="496">
        <v>0</v>
      </c>
      <c r="N76" s="498">
        <v>0</v>
      </c>
      <c r="O76" s="499" t="e">
        <v>#DIV/0!</v>
      </c>
      <c r="P76" s="236"/>
      <c r="Y76" s="168"/>
    </row>
    <row r="77" ht="16.5" customHeight="1" outlineLevel="3" spans="2:25">
      <c r="B77" s="470" t="s">
        <v>1675</v>
      </c>
      <c r="C77" s="473" t="s">
        <v>622</v>
      </c>
      <c r="D77" s="474" t="s">
        <v>1676</v>
      </c>
      <c r="E77" s="479" t="s">
        <v>943</v>
      </c>
      <c r="F77" s="290" t="s">
        <v>1537</v>
      </c>
      <c r="G77" s="200">
        <v>1</v>
      </c>
      <c r="H77" s="503" t="s">
        <v>655</v>
      </c>
      <c r="I77" s="200">
        <v>0</v>
      </c>
      <c r="J77" s="200">
        <v>14.53</v>
      </c>
      <c r="K77" s="41">
        <v>0.17</v>
      </c>
      <c r="L77" s="496">
        <v>0</v>
      </c>
      <c r="M77" s="496">
        <v>0</v>
      </c>
      <c r="N77" s="498">
        <v>0</v>
      </c>
      <c r="O77" s="499" t="e">
        <v>#DIV/0!</v>
      </c>
      <c r="P77" s="236"/>
      <c r="Y77" s="168"/>
    </row>
    <row r="78" ht="16.5" customHeight="1" outlineLevel="3" spans="2:25">
      <c r="B78" s="470" t="s">
        <v>1677</v>
      </c>
      <c r="C78" s="473" t="s">
        <v>622</v>
      </c>
      <c r="D78" s="474" t="s">
        <v>1678</v>
      </c>
      <c r="E78" s="479" t="s">
        <v>1359</v>
      </c>
      <c r="F78" s="290" t="s">
        <v>1537</v>
      </c>
      <c r="G78" s="200">
        <v>0.75</v>
      </c>
      <c r="H78" s="108" t="s">
        <v>655</v>
      </c>
      <c r="I78" s="200">
        <v>0</v>
      </c>
      <c r="J78" s="200">
        <v>6</v>
      </c>
      <c r="K78" s="41">
        <v>0.17</v>
      </c>
      <c r="L78" s="496">
        <v>0</v>
      </c>
      <c r="M78" s="496">
        <v>0</v>
      </c>
      <c r="N78" s="498">
        <v>0</v>
      </c>
      <c r="O78" s="499" t="e">
        <v>#DIV/0!</v>
      </c>
      <c r="P78" s="236"/>
      <c r="Y78" s="168"/>
    </row>
    <row r="79" ht="16.5" customHeight="1" outlineLevel="3" spans="2:25">
      <c r="B79" s="470" t="s">
        <v>1679</v>
      </c>
      <c r="C79" s="473" t="s">
        <v>622</v>
      </c>
      <c r="D79" s="572" t="s">
        <v>1680</v>
      </c>
      <c r="E79" s="479" t="s">
        <v>1359</v>
      </c>
      <c r="F79" s="479" t="s">
        <v>601</v>
      </c>
      <c r="G79" s="200">
        <v>1</v>
      </c>
      <c r="H79" s="108" t="s">
        <v>1681</v>
      </c>
      <c r="I79" s="475">
        <v>0</v>
      </c>
      <c r="J79" s="200">
        <v>130</v>
      </c>
      <c r="K79" s="497">
        <v>0.17</v>
      </c>
      <c r="L79" s="496">
        <v>0</v>
      </c>
      <c r="M79" s="496">
        <v>0</v>
      </c>
      <c r="N79" s="498">
        <v>0</v>
      </c>
      <c r="O79" s="499" t="e">
        <v>#DIV/0!</v>
      </c>
      <c r="P79" s="236"/>
      <c r="Y79" s="168"/>
    </row>
    <row r="80" ht="16.5" customHeight="1" outlineLevel="3" spans="2:25">
      <c r="B80" s="470" t="s">
        <v>1682</v>
      </c>
      <c r="C80" s="473" t="s">
        <v>622</v>
      </c>
      <c r="D80" s="474" t="s">
        <v>1683</v>
      </c>
      <c r="E80" s="504" t="s">
        <v>928</v>
      </c>
      <c r="F80" s="479" t="s">
        <v>601</v>
      </c>
      <c r="G80" s="200">
        <v>1</v>
      </c>
      <c r="H80" s="108" t="s">
        <v>1681</v>
      </c>
      <c r="I80" s="200">
        <v>0</v>
      </c>
      <c r="J80" s="200">
        <v>600</v>
      </c>
      <c r="K80" s="41">
        <v>0.17</v>
      </c>
      <c r="L80" s="496">
        <v>0</v>
      </c>
      <c r="M80" s="496">
        <v>0</v>
      </c>
      <c r="N80" s="498">
        <v>0</v>
      </c>
      <c r="O80" s="499" t="e">
        <v>#DIV/0!</v>
      </c>
      <c r="P80" s="236"/>
      <c r="Y80" s="168"/>
    </row>
    <row r="81" ht="16.5" customHeight="1" outlineLevel="3" spans="2:25">
      <c r="B81" s="470" t="s">
        <v>1684</v>
      </c>
      <c r="C81" s="473" t="s">
        <v>622</v>
      </c>
      <c r="D81" s="474" t="s">
        <v>1685</v>
      </c>
      <c r="E81" s="479" t="s">
        <v>774</v>
      </c>
      <c r="F81" s="479" t="s">
        <v>1252</v>
      </c>
      <c r="G81" s="573">
        <v>1</v>
      </c>
      <c r="H81" s="108" t="s">
        <v>655</v>
      </c>
      <c r="I81" s="200">
        <v>49</v>
      </c>
      <c r="J81" s="200">
        <v>68</v>
      </c>
      <c r="K81" s="41">
        <v>0.11</v>
      </c>
      <c r="L81" s="496">
        <v>0</v>
      </c>
      <c r="M81" s="496">
        <v>0</v>
      </c>
      <c r="N81" s="498">
        <v>0</v>
      </c>
      <c r="O81" s="499" t="e">
        <v>#DIV/0!</v>
      </c>
      <c r="P81" s="236"/>
      <c r="Y81" s="168"/>
    </row>
    <row r="82" ht="16.5" customHeight="1" outlineLevel="2" spans="2:25">
      <c r="B82" s="470" t="s">
        <v>1686</v>
      </c>
      <c r="C82" s="471" t="s">
        <v>657</v>
      </c>
      <c r="D82" s="474" t="s">
        <v>1687</v>
      </c>
      <c r="E82" s="479"/>
      <c r="F82" s="479"/>
      <c r="G82" s="198"/>
      <c r="H82" s="108"/>
      <c r="I82" s="200"/>
      <c r="J82" s="200"/>
      <c r="K82" s="41"/>
      <c r="L82" s="515">
        <v>0</v>
      </c>
      <c r="M82" s="515">
        <v>0</v>
      </c>
      <c r="N82" s="515">
        <v>0</v>
      </c>
      <c r="O82" s="499" t="e">
        <v>#DIV/0!</v>
      </c>
      <c r="P82" s="236"/>
      <c r="Y82" s="168"/>
    </row>
    <row r="83" ht="16.5" customHeight="1" outlineLevel="3" spans="2:25">
      <c r="B83" s="470" t="s">
        <v>1688</v>
      </c>
      <c r="C83" s="473" t="s">
        <v>622</v>
      </c>
      <c r="D83" s="474" t="s">
        <v>1689</v>
      </c>
      <c r="E83" s="479" t="s">
        <v>1360</v>
      </c>
      <c r="F83" s="479" t="s">
        <v>602</v>
      </c>
      <c r="G83" s="200">
        <v>1</v>
      </c>
      <c r="H83" s="108" t="s">
        <v>1690</v>
      </c>
      <c r="I83" s="200">
        <v>0</v>
      </c>
      <c r="J83" s="516">
        <v>141000</v>
      </c>
      <c r="K83" s="41">
        <v>0.17</v>
      </c>
      <c r="L83" s="496">
        <v>0</v>
      </c>
      <c r="M83" s="496">
        <v>0</v>
      </c>
      <c r="N83" s="498">
        <v>0</v>
      </c>
      <c r="O83" s="499" t="e">
        <v>#DIV/0!</v>
      </c>
      <c r="P83" s="236"/>
      <c r="Y83" s="168"/>
    </row>
    <row r="84" ht="16.5" customHeight="1" outlineLevel="3" spans="2:25">
      <c r="B84" s="470" t="s">
        <v>1691</v>
      </c>
      <c r="C84" s="473" t="s">
        <v>622</v>
      </c>
      <c r="D84" s="474" t="s">
        <v>1692</v>
      </c>
      <c r="E84" s="479" t="s">
        <v>1361</v>
      </c>
      <c r="F84" s="479" t="s">
        <v>602</v>
      </c>
      <c r="G84" s="200">
        <v>1</v>
      </c>
      <c r="H84" s="108" t="s">
        <v>1690</v>
      </c>
      <c r="I84" s="200">
        <v>0</v>
      </c>
      <c r="J84" s="516">
        <v>21200</v>
      </c>
      <c r="K84" s="41">
        <v>0.11</v>
      </c>
      <c r="L84" s="496">
        <v>0</v>
      </c>
      <c r="M84" s="496">
        <v>0</v>
      </c>
      <c r="N84" s="498">
        <v>0</v>
      </c>
      <c r="O84" s="499" t="e">
        <v>#DIV/0!</v>
      </c>
      <c r="P84" s="236"/>
      <c r="Y84" s="168"/>
    </row>
    <row r="85" ht="16.5" customHeight="1" outlineLevel="3" spans="2:25">
      <c r="B85" s="470" t="s">
        <v>1693</v>
      </c>
      <c r="C85" s="473" t="s">
        <v>622</v>
      </c>
      <c r="D85" s="474" t="s">
        <v>1694</v>
      </c>
      <c r="E85" s="290" t="s">
        <v>931</v>
      </c>
      <c r="F85" s="290" t="s">
        <v>1537</v>
      </c>
      <c r="G85" s="200">
        <v>1</v>
      </c>
      <c r="H85" s="108" t="s">
        <v>655</v>
      </c>
      <c r="I85" s="475">
        <v>0</v>
      </c>
      <c r="J85" s="200">
        <v>31</v>
      </c>
      <c r="K85" s="497">
        <v>0.11</v>
      </c>
      <c r="L85" s="496">
        <v>0</v>
      </c>
      <c r="M85" s="496">
        <v>0</v>
      </c>
      <c r="N85" s="498">
        <v>0</v>
      </c>
      <c r="O85" s="499" t="e">
        <v>#DIV/0!</v>
      </c>
      <c r="P85" s="236"/>
      <c r="Y85" s="168"/>
    </row>
    <row r="86" ht="16.5" customHeight="1" outlineLevel="3" spans="2:25">
      <c r="B86" s="470" t="s">
        <v>1695</v>
      </c>
      <c r="C86" s="473" t="s">
        <v>622</v>
      </c>
      <c r="D86" s="474" t="s">
        <v>1696</v>
      </c>
      <c r="E86" s="290" t="s">
        <v>943</v>
      </c>
      <c r="F86" s="290" t="s">
        <v>1537</v>
      </c>
      <c r="G86" s="200">
        <v>1</v>
      </c>
      <c r="H86" s="108" t="s">
        <v>655</v>
      </c>
      <c r="I86" s="475">
        <v>0</v>
      </c>
      <c r="J86" s="200">
        <v>4.7</v>
      </c>
      <c r="K86" s="497">
        <v>0.17</v>
      </c>
      <c r="L86" s="496">
        <v>0</v>
      </c>
      <c r="M86" s="496">
        <v>0</v>
      </c>
      <c r="N86" s="498">
        <v>0</v>
      </c>
      <c r="O86" s="499" t="e">
        <v>#DIV/0!</v>
      </c>
      <c r="P86" s="236"/>
      <c r="Y86" s="168"/>
    </row>
    <row r="87" ht="16.5" customHeight="1" outlineLevel="3" spans="2:25">
      <c r="B87" s="470" t="s">
        <v>1697</v>
      </c>
      <c r="C87" s="473" t="s">
        <v>622</v>
      </c>
      <c r="D87" s="474" t="s">
        <v>1698</v>
      </c>
      <c r="E87" s="479" t="s">
        <v>1406</v>
      </c>
      <c r="F87" s="479" t="s">
        <v>505</v>
      </c>
      <c r="G87" s="200"/>
      <c r="H87" s="108" t="s">
        <v>655</v>
      </c>
      <c r="I87" s="200"/>
      <c r="J87" s="200">
        <v>0</v>
      </c>
      <c r="K87" s="41">
        <v>0.11</v>
      </c>
      <c r="L87" s="496">
        <v>0</v>
      </c>
      <c r="M87" s="496">
        <v>0</v>
      </c>
      <c r="N87" s="498">
        <v>0</v>
      </c>
      <c r="O87" s="499" t="e">
        <v>#DIV/0!</v>
      </c>
      <c r="P87" s="236"/>
      <c r="Y87" s="168"/>
    </row>
    <row r="88" ht="16.5" customHeight="1" outlineLevel="3" spans="2:25">
      <c r="B88" s="470" t="s">
        <v>1699</v>
      </c>
      <c r="C88" s="473" t="s">
        <v>622</v>
      </c>
      <c r="D88" s="474" t="s">
        <v>1700</v>
      </c>
      <c r="E88" s="479"/>
      <c r="F88" s="479" t="s">
        <v>505</v>
      </c>
      <c r="G88" s="200"/>
      <c r="H88" s="108" t="s">
        <v>655</v>
      </c>
      <c r="I88" s="200"/>
      <c r="J88" s="200">
        <v>0</v>
      </c>
      <c r="K88" s="41">
        <v>0.11</v>
      </c>
      <c r="L88" s="496">
        <v>0</v>
      </c>
      <c r="M88" s="496">
        <v>0</v>
      </c>
      <c r="N88" s="498">
        <v>0</v>
      </c>
      <c r="O88" s="499" t="e">
        <v>#DIV/0!</v>
      </c>
      <c r="P88" s="236"/>
      <c r="Y88" s="168"/>
    </row>
    <row r="89" ht="16.5" customHeight="1" outlineLevel="3" spans="2:25">
      <c r="B89" s="470" t="s">
        <v>1701</v>
      </c>
      <c r="C89" s="473" t="s">
        <v>622</v>
      </c>
      <c r="D89" s="474" t="s">
        <v>1702</v>
      </c>
      <c r="E89" s="479"/>
      <c r="F89" s="479" t="s">
        <v>505</v>
      </c>
      <c r="G89" s="200"/>
      <c r="H89" s="108" t="s">
        <v>655</v>
      </c>
      <c r="I89" s="200"/>
      <c r="J89" s="200">
        <v>0</v>
      </c>
      <c r="K89" s="41">
        <v>0.11</v>
      </c>
      <c r="L89" s="496">
        <v>0</v>
      </c>
      <c r="M89" s="496">
        <v>0</v>
      </c>
      <c r="N89" s="498">
        <v>0</v>
      </c>
      <c r="O89" s="499" t="e">
        <v>#DIV/0!</v>
      </c>
      <c r="P89" s="236"/>
      <c r="Y89" s="168"/>
    </row>
    <row r="90" ht="16.5" customHeight="1" spans="2:25">
      <c r="B90" s="468" t="s">
        <v>1703</v>
      </c>
      <c r="C90" s="469" t="s">
        <v>547</v>
      </c>
      <c r="D90" s="468" t="s">
        <v>482</v>
      </c>
      <c r="E90" s="192"/>
      <c r="F90" s="192"/>
      <c r="G90" s="192"/>
      <c r="H90" s="206"/>
      <c r="I90" s="488"/>
      <c r="J90" s="488"/>
      <c r="K90" s="488"/>
      <c r="L90" s="490">
        <v>0</v>
      </c>
      <c r="M90" s="490">
        <v>0</v>
      </c>
      <c r="N90" s="490">
        <v>0</v>
      </c>
      <c r="O90" s="491" t="e">
        <v>#DIV/0!</v>
      </c>
      <c r="P90" s="251"/>
      <c r="Y90" s="168"/>
    </row>
    <row r="91" ht="16.5" customHeight="1" outlineLevel="1" spans="2:25">
      <c r="B91" s="505" t="s">
        <v>1704</v>
      </c>
      <c r="C91" s="506">
        <v>1</v>
      </c>
      <c r="D91" s="505" t="s">
        <v>1705</v>
      </c>
      <c r="E91" s="193"/>
      <c r="F91" s="193"/>
      <c r="G91" s="193"/>
      <c r="H91" s="155"/>
      <c r="I91" s="492"/>
      <c r="J91" s="567"/>
      <c r="K91" s="492"/>
      <c r="L91" s="494">
        <v>0</v>
      </c>
      <c r="M91" s="494">
        <v>0</v>
      </c>
      <c r="N91" s="494">
        <v>0</v>
      </c>
      <c r="O91" s="495" t="e">
        <v>#DIV/0!</v>
      </c>
      <c r="P91" s="233"/>
      <c r="Y91" s="168"/>
    </row>
    <row r="92" ht="16.5" customHeight="1" outlineLevel="2" spans="2:25">
      <c r="B92" s="470" t="s">
        <v>1706</v>
      </c>
      <c r="C92" s="471" t="s">
        <v>619</v>
      </c>
      <c r="D92" s="474" t="s">
        <v>1707</v>
      </c>
      <c r="E92" s="290" t="s">
        <v>1363</v>
      </c>
      <c r="F92" s="290" t="s">
        <v>1537</v>
      </c>
      <c r="G92" s="200"/>
      <c r="H92" s="108" t="s">
        <v>655</v>
      </c>
      <c r="I92" s="475">
        <v>0</v>
      </c>
      <c r="J92" s="475">
        <v>200</v>
      </c>
      <c r="K92" s="497">
        <v>0.11</v>
      </c>
      <c r="L92" s="477">
        <v>0</v>
      </c>
      <c r="M92" s="475">
        <v>0</v>
      </c>
      <c r="N92" s="498">
        <v>0</v>
      </c>
      <c r="O92" s="499" t="e">
        <v>#DIV/0!</v>
      </c>
      <c r="P92" s="309"/>
      <c r="Y92" s="168"/>
    </row>
    <row r="93" ht="16.5" customHeight="1" outlineLevel="2" spans="2:25">
      <c r="B93" s="470" t="s">
        <v>1708</v>
      </c>
      <c r="C93" s="471" t="s">
        <v>657</v>
      </c>
      <c r="D93" s="474" t="s">
        <v>1709</v>
      </c>
      <c r="E93" s="290" t="s">
        <v>1364</v>
      </c>
      <c r="F93" s="290" t="s">
        <v>1537</v>
      </c>
      <c r="G93" s="200"/>
      <c r="H93" s="108" t="s">
        <v>655</v>
      </c>
      <c r="I93" s="475">
        <v>0</v>
      </c>
      <c r="J93" s="475">
        <v>54</v>
      </c>
      <c r="K93" s="497">
        <v>0.11</v>
      </c>
      <c r="L93" s="477">
        <v>0</v>
      </c>
      <c r="M93" s="475">
        <v>0</v>
      </c>
      <c r="N93" s="498">
        <v>0</v>
      </c>
      <c r="O93" s="499" t="e">
        <v>#DIV/0!</v>
      </c>
      <c r="P93" s="309"/>
      <c r="Y93" s="168"/>
    </row>
    <row r="94" ht="16.5" customHeight="1" outlineLevel="2" spans="2:25">
      <c r="B94" s="470" t="s">
        <v>1710</v>
      </c>
      <c r="C94" s="471" t="s">
        <v>762</v>
      </c>
      <c r="D94" s="474" t="s">
        <v>1711</v>
      </c>
      <c r="E94" s="290" t="s">
        <v>1365</v>
      </c>
      <c r="F94" s="290" t="s">
        <v>1537</v>
      </c>
      <c r="G94" s="200"/>
      <c r="H94" s="108" t="s">
        <v>655</v>
      </c>
      <c r="I94" s="475">
        <v>0</v>
      </c>
      <c r="J94" s="475">
        <v>90</v>
      </c>
      <c r="K94" s="497">
        <v>0.11</v>
      </c>
      <c r="L94" s="477">
        <v>0</v>
      </c>
      <c r="M94" s="475">
        <v>0</v>
      </c>
      <c r="N94" s="498">
        <v>0</v>
      </c>
      <c r="O94" s="499" t="e">
        <v>#DIV/0!</v>
      </c>
      <c r="P94" s="309"/>
      <c r="Y94" s="168"/>
    </row>
    <row r="95" ht="16.5" customHeight="1" outlineLevel="2" spans="2:25">
      <c r="B95" s="470" t="s">
        <v>1712</v>
      </c>
      <c r="C95" s="471" t="s">
        <v>778</v>
      </c>
      <c r="D95" s="474" t="s">
        <v>1713</v>
      </c>
      <c r="E95" s="290" t="s">
        <v>1367</v>
      </c>
      <c r="F95" s="290" t="s">
        <v>1537</v>
      </c>
      <c r="G95" s="200"/>
      <c r="H95" s="108" t="s">
        <v>655</v>
      </c>
      <c r="I95" s="475">
        <v>0</v>
      </c>
      <c r="J95" s="475">
        <v>15</v>
      </c>
      <c r="K95" s="497">
        <v>0.11</v>
      </c>
      <c r="L95" s="477">
        <v>0</v>
      </c>
      <c r="M95" s="475">
        <v>0</v>
      </c>
      <c r="N95" s="498">
        <v>0</v>
      </c>
      <c r="O95" s="499" t="e">
        <v>#DIV/0!</v>
      </c>
      <c r="P95" s="309"/>
      <c r="Y95" s="168"/>
    </row>
    <row r="96" ht="16.5" customHeight="1" outlineLevel="2" spans="2:25">
      <c r="B96" s="470" t="s">
        <v>1714</v>
      </c>
      <c r="C96" s="471" t="s">
        <v>781</v>
      </c>
      <c r="D96" s="474" t="s">
        <v>1715</v>
      </c>
      <c r="E96" s="290" t="s">
        <v>1368</v>
      </c>
      <c r="F96" s="290" t="s">
        <v>1537</v>
      </c>
      <c r="G96" s="200"/>
      <c r="H96" s="108" t="s">
        <v>655</v>
      </c>
      <c r="I96" s="475">
        <v>0</v>
      </c>
      <c r="J96" s="475">
        <v>45</v>
      </c>
      <c r="K96" s="497">
        <v>0.11</v>
      </c>
      <c r="L96" s="477">
        <v>0</v>
      </c>
      <c r="M96" s="475">
        <v>0</v>
      </c>
      <c r="N96" s="498">
        <v>0</v>
      </c>
      <c r="O96" s="499" t="e">
        <v>#DIV/0!</v>
      </c>
      <c r="P96" s="309"/>
      <c r="Y96" s="168"/>
    </row>
    <row r="97" ht="16.5" customHeight="1" outlineLevel="2" spans="2:25">
      <c r="B97" s="470" t="s">
        <v>1716</v>
      </c>
      <c r="C97" s="471" t="s">
        <v>788</v>
      </c>
      <c r="D97" s="474" t="s">
        <v>1717</v>
      </c>
      <c r="E97" s="290" t="s">
        <v>1406</v>
      </c>
      <c r="F97" s="290" t="s">
        <v>1537</v>
      </c>
      <c r="G97" s="200"/>
      <c r="H97" s="108" t="s">
        <v>655</v>
      </c>
      <c r="I97" s="475">
        <v>0</v>
      </c>
      <c r="J97" s="475"/>
      <c r="K97" s="497">
        <v>0.11</v>
      </c>
      <c r="L97" s="477">
        <v>0</v>
      </c>
      <c r="M97" s="475">
        <v>0</v>
      </c>
      <c r="N97" s="498">
        <v>0</v>
      </c>
      <c r="O97" s="499" t="e">
        <v>#DIV/0!</v>
      </c>
      <c r="P97" s="309"/>
      <c r="Y97" s="168"/>
    </row>
    <row r="98" ht="16.5" customHeight="1" outlineLevel="2" spans="2:25">
      <c r="B98" s="470" t="s">
        <v>1718</v>
      </c>
      <c r="C98" s="471" t="s">
        <v>791</v>
      </c>
      <c r="D98" s="474" t="s">
        <v>1719</v>
      </c>
      <c r="E98" s="290" t="s">
        <v>1369</v>
      </c>
      <c r="F98" s="290" t="s">
        <v>1537</v>
      </c>
      <c r="G98" s="200"/>
      <c r="H98" s="108" t="s">
        <v>655</v>
      </c>
      <c r="I98" s="475">
        <v>0</v>
      </c>
      <c r="J98" s="475">
        <v>5</v>
      </c>
      <c r="K98" s="497">
        <v>0.11</v>
      </c>
      <c r="L98" s="477">
        <v>0</v>
      </c>
      <c r="M98" s="475">
        <v>0</v>
      </c>
      <c r="N98" s="498">
        <v>0</v>
      </c>
      <c r="O98" s="499" t="e">
        <v>#DIV/0!</v>
      </c>
      <c r="P98" s="309"/>
      <c r="Y98" s="168"/>
    </row>
    <row r="99" ht="16.5" customHeight="1" outlineLevel="2" spans="2:25">
      <c r="B99" s="470" t="s">
        <v>1720</v>
      </c>
      <c r="C99" s="471" t="s">
        <v>797</v>
      </c>
      <c r="D99" s="474" t="s">
        <v>1721</v>
      </c>
      <c r="E99" s="290" t="s">
        <v>1371</v>
      </c>
      <c r="F99" s="290" t="s">
        <v>1537</v>
      </c>
      <c r="G99" s="200"/>
      <c r="H99" s="108" t="s">
        <v>655</v>
      </c>
      <c r="I99" s="475">
        <v>0</v>
      </c>
      <c r="J99" s="475">
        <v>18</v>
      </c>
      <c r="K99" s="497">
        <v>0.17</v>
      </c>
      <c r="L99" s="477">
        <v>0</v>
      </c>
      <c r="M99" s="475">
        <v>0</v>
      </c>
      <c r="N99" s="498">
        <v>0</v>
      </c>
      <c r="O99" s="499" t="e">
        <v>#DIV/0!</v>
      </c>
      <c r="P99" s="309"/>
      <c r="Y99" s="168"/>
    </row>
    <row r="100" ht="16.5" customHeight="1" outlineLevel="2" spans="2:25">
      <c r="B100" s="470" t="s">
        <v>1722</v>
      </c>
      <c r="C100" s="471" t="s">
        <v>1519</v>
      </c>
      <c r="D100" s="474" t="s">
        <v>1723</v>
      </c>
      <c r="E100" s="290" t="s">
        <v>1372</v>
      </c>
      <c r="F100" s="290" t="s">
        <v>1537</v>
      </c>
      <c r="G100" s="200"/>
      <c r="H100" s="108" t="s">
        <v>655</v>
      </c>
      <c r="I100" s="475">
        <v>0</v>
      </c>
      <c r="J100" s="475"/>
      <c r="K100" s="497">
        <v>0.17</v>
      </c>
      <c r="L100" s="477">
        <v>0</v>
      </c>
      <c r="M100" s="475">
        <v>0</v>
      </c>
      <c r="N100" s="498">
        <v>0</v>
      </c>
      <c r="O100" s="499" t="e">
        <v>#DIV/0!</v>
      </c>
      <c r="P100" s="309"/>
      <c r="Y100" s="168"/>
    </row>
    <row r="101" ht="16.5" customHeight="1" outlineLevel="2" spans="2:25">
      <c r="B101" s="470" t="s">
        <v>1724</v>
      </c>
      <c r="C101" s="471" t="s">
        <v>1520</v>
      </c>
      <c r="D101" s="474" t="s">
        <v>1725</v>
      </c>
      <c r="E101" s="290" t="s">
        <v>1373</v>
      </c>
      <c r="F101" s="290" t="s">
        <v>1537</v>
      </c>
      <c r="G101" s="200"/>
      <c r="H101" s="108" t="s">
        <v>655</v>
      </c>
      <c r="I101" s="475">
        <v>0</v>
      </c>
      <c r="J101" s="475">
        <v>3</v>
      </c>
      <c r="K101" s="497">
        <v>0.17</v>
      </c>
      <c r="L101" s="477">
        <v>0</v>
      </c>
      <c r="M101" s="475">
        <v>0</v>
      </c>
      <c r="N101" s="498">
        <v>0</v>
      </c>
      <c r="O101" s="499" t="e">
        <v>#DIV/0!</v>
      </c>
      <c r="P101" s="309"/>
      <c r="Y101" s="168"/>
    </row>
    <row r="102" ht="16.5" customHeight="1" outlineLevel="2" spans="2:25">
      <c r="B102" s="470" t="s">
        <v>1726</v>
      </c>
      <c r="C102" s="471" t="s">
        <v>1727</v>
      </c>
      <c r="D102" s="474" t="s">
        <v>1728</v>
      </c>
      <c r="E102" s="290" t="s">
        <v>1374</v>
      </c>
      <c r="F102" s="290" t="s">
        <v>1537</v>
      </c>
      <c r="G102" s="200"/>
      <c r="H102" s="108" t="s">
        <v>655</v>
      </c>
      <c r="I102" s="475">
        <v>0</v>
      </c>
      <c r="J102" s="475"/>
      <c r="K102" s="497">
        <v>0.17</v>
      </c>
      <c r="L102" s="477">
        <v>0</v>
      </c>
      <c r="M102" s="475">
        <v>0</v>
      </c>
      <c r="N102" s="498">
        <v>0</v>
      </c>
      <c r="O102" s="499" t="e">
        <v>#DIV/0!</v>
      </c>
      <c r="P102" s="309"/>
      <c r="Y102" s="168"/>
    </row>
    <row r="103" ht="16.5" customHeight="1" outlineLevel="2" spans="2:25">
      <c r="B103" s="470" t="s">
        <v>1729</v>
      </c>
      <c r="C103" s="471" t="s">
        <v>1730</v>
      </c>
      <c r="D103" s="474" t="s">
        <v>1731</v>
      </c>
      <c r="E103" s="290" t="s">
        <v>1375</v>
      </c>
      <c r="F103" s="290" t="s">
        <v>1537</v>
      </c>
      <c r="G103" s="200"/>
      <c r="H103" s="108" t="s">
        <v>655</v>
      </c>
      <c r="I103" s="475">
        <v>0</v>
      </c>
      <c r="J103" s="475">
        <v>4</v>
      </c>
      <c r="K103" s="497">
        <v>0.17</v>
      </c>
      <c r="L103" s="477">
        <v>0</v>
      </c>
      <c r="M103" s="475">
        <v>0</v>
      </c>
      <c r="N103" s="498">
        <v>0</v>
      </c>
      <c r="O103" s="499" t="e">
        <v>#DIV/0!</v>
      </c>
      <c r="P103" s="309"/>
      <c r="Y103" s="168"/>
    </row>
    <row r="104" s="456" customFormat="1" ht="16.5" customHeight="1" outlineLevel="2" spans="2:16">
      <c r="B104" s="470" t="s">
        <v>1732</v>
      </c>
      <c r="C104" s="471" t="s">
        <v>1733</v>
      </c>
      <c r="D104" s="474" t="s">
        <v>1734</v>
      </c>
      <c r="E104" s="290" t="s">
        <v>1376</v>
      </c>
      <c r="F104" s="290" t="s">
        <v>1537</v>
      </c>
      <c r="G104" s="200"/>
      <c r="H104" s="108" t="s">
        <v>655</v>
      </c>
      <c r="I104" s="475">
        <v>0</v>
      </c>
      <c r="J104" s="475">
        <v>12</v>
      </c>
      <c r="K104" s="497">
        <v>0.17</v>
      </c>
      <c r="L104" s="477">
        <v>0</v>
      </c>
      <c r="M104" s="475">
        <v>0</v>
      </c>
      <c r="N104" s="498">
        <v>0</v>
      </c>
      <c r="O104" s="499" t="e">
        <v>#DIV/0!</v>
      </c>
      <c r="P104" s="309"/>
    </row>
    <row r="105" ht="16.5" customHeight="1" outlineLevel="2" spans="2:25">
      <c r="B105" s="470" t="s">
        <v>1735</v>
      </c>
      <c r="C105" s="471" t="s">
        <v>1736</v>
      </c>
      <c r="D105" s="474" t="s">
        <v>1737</v>
      </c>
      <c r="E105" s="290" t="s">
        <v>1376</v>
      </c>
      <c r="F105" s="290" t="s">
        <v>1537</v>
      </c>
      <c r="G105" s="200"/>
      <c r="H105" s="108" t="s">
        <v>655</v>
      </c>
      <c r="I105" s="475">
        <v>0</v>
      </c>
      <c r="J105" s="475">
        <v>2.5</v>
      </c>
      <c r="K105" s="497">
        <v>0.17</v>
      </c>
      <c r="L105" s="477">
        <v>0</v>
      </c>
      <c r="M105" s="475">
        <v>0</v>
      </c>
      <c r="N105" s="498">
        <v>0</v>
      </c>
      <c r="O105" s="499" t="e">
        <v>#DIV/0!</v>
      </c>
      <c r="P105" s="309"/>
      <c r="Y105" s="168"/>
    </row>
    <row r="106" ht="16.5" customHeight="1" outlineLevel="2" spans="2:25">
      <c r="B106" s="470"/>
      <c r="C106" s="471"/>
      <c r="D106" s="474"/>
      <c r="E106" s="470"/>
      <c r="F106" s="290"/>
      <c r="G106" s="200"/>
      <c r="H106" s="108"/>
      <c r="I106" s="475"/>
      <c r="J106" s="475">
        <v>0</v>
      </c>
      <c r="K106" s="497"/>
      <c r="L106" s="477"/>
      <c r="M106" s="475"/>
      <c r="N106" s="498"/>
      <c r="O106" s="499"/>
      <c r="P106" s="309"/>
      <c r="Y106" s="168"/>
    </row>
    <row r="107" ht="21" customHeight="1" outlineLevel="2" spans="2:25">
      <c r="B107" s="470"/>
      <c r="C107" s="471"/>
      <c r="D107" s="474"/>
      <c r="E107" s="470"/>
      <c r="F107" s="290"/>
      <c r="G107" s="200"/>
      <c r="H107" s="108"/>
      <c r="I107" s="475"/>
      <c r="J107" s="475">
        <v>0</v>
      </c>
      <c r="K107" s="497"/>
      <c r="L107" s="477"/>
      <c r="M107" s="475"/>
      <c r="N107" s="498"/>
      <c r="O107" s="499"/>
      <c r="P107" s="309"/>
      <c r="Y107" s="168"/>
    </row>
    <row r="108" ht="18.75" customHeight="1" outlineLevel="1" spans="2:25">
      <c r="B108" s="505" t="s">
        <v>1738</v>
      </c>
      <c r="C108" s="506">
        <v>2</v>
      </c>
      <c r="D108" s="505" t="s">
        <v>1739</v>
      </c>
      <c r="E108" s="193"/>
      <c r="F108" s="193"/>
      <c r="G108" s="193"/>
      <c r="H108" s="155"/>
      <c r="I108" s="492"/>
      <c r="J108" s="492"/>
      <c r="K108" s="492"/>
      <c r="L108" s="494">
        <v>0</v>
      </c>
      <c r="M108" s="494">
        <v>0</v>
      </c>
      <c r="N108" s="494">
        <v>0</v>
      </c>
      <c r="O108" s="495" t="e">
        <v>#DIV/0!</v>
      </c>
      <c r="P108" s="233"/>
      <c r="Y108" s="168"/>
    </row>
    <row r="109" ht="16.5" customHeight="1" outlineLevel="2" spans="2:25">
      <c r="B109" s="470" t="s">
        <v>1740</v>
      </c>
      <c r="C109" s="471" t="s">
        <v>619</v>
      </c>
      <c r="D109" s="508" t="s">
        <v>1741</v>
      </c>
      <c r="E109" s="290" t="s">
        <v>1377</v>
      </c>
      <c r="F109" s="290" t="s">
        <v>1537</v>
      </c>
      <c r="G109" s="200">
        <v>1</v>
      </c>
      <c r="H109" s="108" t="s">
        <v>655</v>
      </c>
      <c r="I109" s="475">
        <v>0</v>
      </c>
      <c r="J109" s="475"/>
      <c r="K109" s="517">
        <v>0.17</v>
      </c>
      <c r="L109" s="477">
        <v>0</v>
      </c>
      <c r="M109" s="475">
        <v>0</v>
      </c>
      <c r="N109" s="498">
        <v>0</v>
      </c>
      <c r="O109" s="499" t="e">
        <v>#DIV/0!</v>
      </c>
      <c r="P109" s="309"/>
      <c r="Y109" s="168"/>
    </row>
    <row r="110" ht="16.5" customHeight="1" outlineLevel="2" spans="2:25">
      <c r="B110" s="470" t="s">
        <v>1742</v>
      </c>
      <c r="C110" s="471" t="s">
        <v>657</v>
      </c>
      <c r="D110" s="508" t="s">
        <v>1743</v>
      </c>
      <c r="E110" s="290" t="s">
        <v>1377</v>
      </c>
      <c r="F110" s="290" t="s">
        <v>1537</v>
      </c>
      <c r="G110" s="200">
        <v>1</v>
      </c>
      <c r="H110" s="108" t="s">
        <v>655</v>
      </c>
      <c r="I110" s="475">
        <v>0</v>
      </c>
      <c r="J110" s="475"/>
      <c r="K110" s="517">
        <v>0.17</v>
      </c>
      <c r="L110" s="477">
        <v>0</v>
      </c>
      <c r="M110" s="475">
        <v>0</v>
      </c>
      <c r="N110" s="498">
        <v>0</v>
      </c>
      <c r="O110" s="499" t="e">
        <v>#DIV/0!</v>
      </c>
      <c r="P110" s="309"/>
      <c r="Y110" s="168"/>
    </row>
    <row r="111" ht="16.5" customHeight="1" outlineLevel="2" spans="2:25">
      <c r="B111" s="470" t="s">
        <v>1744</v>
      </c>
      <c r="C111" s="471" t="s">
        <v>762</v>
      </c>
      <c r="D111" s="508" t="s">
        <v>1745</v>
      </c>
      <c r="E111" s="290" t="s">
        <v>1377</v>
      </c>
      <c r="F111" s="290" t="s">
        <v>1537</v>
      </c>
      <c r="G111" s="200">
        <v>1</v>
      </c>
      <c r="H111" s="108" t="s">
        <v>655</v>
      </c>
      <c r="I111" s="475">
        <v>0</v>
      </c>
      <c r="J111" s="475"/>
      <c r="K111" s="517">
        <v>0.17</v>
      </c>
      <c r="L111" s="477">
        <v>0</v>
      </c>
      <c r="M111" s="475">
        <v>0</v>
      </c>
      <c r="N111" s="498">
        <v>0</v>
      </c>
      <c r="O111" s="499" t="e">
        <v>#DIV/0!</v>
      </c>
      <c r="P111" s="309"/>
      <c r="Y111" s="168"/>
    </row>
    <row r="112" ht="16.5" customHeight="1" outlineLevel="1" spans="2:25">
      <c r="B112" s="505" t="s">
        <v>1746</v>
      </c>
      <c r="C112" s="506">
        <v>3</v>
      </c>
      <c r="D112" s="505" t="s">
        <v>1747</v>
      </c>
      <c r="E112" s="193"/>
      <c r="F112" s="193"/>
      <c r="G112" s="193"/>
      <c r="H112" s="155"/>
      <c r="I112" s="492"/>
      <c r="J112" s="492"/>
      <c r="K112" s="492"/>
      <c r="L112" s="494">
        <v>0</v>
      </c>
      <c r="M112" s="494">
        <v>0</v>
      </c>
      <c r="N112" s="494">
        <v>0</v>
      </c>
      <c r="O112" s="495" t="e">
        <v>#DIV/0!</v>
      </c>
      <c r="P112" s="233"/>
      <c r="Y112" s="168"/>
    </row>
    <row r="113" s="456" customFormat="1" ht="16.5" customHeight="1" outlineLevel="2" spans="2:16">
      <c r="B113" s="508" t="s">
        <v>1748</v>
      </c>
      <c r="C113" s="471" t="s">
        <v>619</v>
      </c>
      <c r="D113" s="474" t="s">
        <v>1747</v>
      </c>
      <c r="E113" s="470"/>
      <c r="F113" s="290"/>
      <c r="G113" s="200"/>
      <c r="H113" s="108"/>
      <c r="I113" s="475"/>
      <c r="J113" s="475">
        <v>0</v>
      </c>
      <c r="K113" s="517"/>
      <c r="L113" s="477"/>
      <c r="M113" s="475"/>
      <c r="N113" s="498"/>
      <c r="O113" s="499"/>
      <c r="P113" s="309"/>
    </row>
    <row r="114" s="456" customFormat="1" ht="16.5" customHeight="1" outlineLevel="2" spans="2:16">
      <c r="B114" s="508" t="s">
        <v>1749</v>
      </c>
      <c r="C114" s="471" t="s">
        <v>657</v>
      </c>
      <c r="D114" s="474" t="s">
        <v>1125</v>
      </c>
      <c r="E114" s="471" t="s">
        <v>1125</v>
      </c>
      <c r="F114" s="366"/>
      <c r="G114" s="366"/>
      <c r="H114" s="313"/>
      <c r="I114" s="518"/>
      <c r="J114" s="518">
        <v>0</v>
      </c>
      <c r="K114" s="519"/>
      <c r="L114" s="477">
        <v>0</v>
      </c>
      <c r="M114" s="475">
        <v>0</v>
      </c>
      <c r="N114" s="498">
        <v>0</v>
      </c>
      <c r="O114" s="499" t="e">
        <v>#DIV/0!</v>
      </c>
      <c r="P114" s="309"/>
    </row>
    <row r="115" ht="16.5" customHeight="1" outlineLevel="1" spans="2:25">
      <c r="B115" s="505" t="s">
        <v>1750</v>
      </c>
      <c r="C115" s="506">
        <v>4</v>
      </c>
      <c r="D115" s="505" t="s">
        <v>1751</v>
      </c>
      <c r="E115" s="193"/>
      <c r="F115" s="193"/>
      <c r="G115" s="193"/>
      <c r="H115" s="155"/>
      <c r="I115" s="492"/>
      <c r="J115" s="492"/>
      <c r="K115" s="493">
        <v>0.11</v>
      </c>
      <c r="L115" s="155">
        <v>0</v>
      </c>
      <c r="M115" s="155">
        <v>0</v>
      </c>
      <c r="N115" s="494">
        <v>0</v>
      </c>
      <c r="O115" s="495" t="e">
        <v>#DIV/0!</v>
      </c>
      <c r="P115" s="233"/>
      <c r="Y115" s="168"/>
    </row>
    <row r="116" ht="16.5" customHeight="1" spans="2:25">
      <c r="B116" s="468" t="s">
        <v>1752</v>
      </c>
      <c r="C116" s="469" t="s">
        <v>548</v>
      </c>
      <c r="D116" s="468" t="s">
        <v>483</v>
      </c>
      <c r="E116" s="192"/>
      <c r="F116" s="192"/>
      <c r="G116" s="192"/>
      <c r="H116" s="192"/>
      <c r="I116" s="488"/>
      <c r="J116" s="488"/>
      <c r="K116" s="520"/>
      <c r="L116" s="206">
        <v>0</v>
      </c>
      <c r="M116" s="206">
        <v>0</v>
      </c>
      <c r="N116" s="206">
        <v>0</v>
      </c>
      <c r="O116" s="491" t="e">
        <v>#DIV/0!</v>
      </c>
      <c r="P116" s="230"/>
      <c r="Y116" s="168"/>
    </row>
    <row r="117" ht="16.5" customHeight="1" outlineLevel="1" spans="2:25">
      <c r="B117" s="505" t="s">
        <v>549</v>
      </c>
      <c r="C117" s="506">
        <v>1</v>
      </c>
      <c r="D117" s="505" t="s">
        <v>550</v>
      </c>
      <c r="E117" s="193"/>
      <c r="F117" s="193"/>
      <c r="G117" s="193"/>
      <c r="H117" s="155"/>
      <c r="I117" s="492"/>
      <c r="J117" s="492"/>
      <c r="K117" s="521"/>
      <c r="L117" s="155">
        <v>0</v>
      </c>
      <c r="M117" s="155">
        <v>0</v>
      </c>
      <c r="N117" s="155">
        <v>0</v>
      </c>
      <c r="O117" s="495" t="e">
        <v>#DIV/0!</v>
      </c>
      <c r="P117" s="233"/>
      <c r="Y117" s="168"/>
    </row>
    <row r="118" ht="16.5" customHeight="1" outlineLevel="2" spans="2:25">
      <c r="B118" s="470" t="s">
        <v>1753</v>
      </c>
      <c r="C118" s="471" t="s">
        <v>619</v>
      </c>
      <c r="D118" s="508" t="s">
        <v>1754</v>
      </c>
      <c r="E118" s="290"/>
      <c r="F118" s="290"/>
      <c r="G118" s="292"/>
      <c r="H118" s="292"/>
      <c r="I118" s="475"/>
      <c r="J118" s="475">
        <v>0</v>
      </c>
      <c r="K118" s="517"/>
      <c r="L118" s="301">
        <v>0</v>
      </c>
      <c r="M118" s="301">
        <v>0</v>
      </c>
      <c r="N118" s="301">
        <v>0</v>
      </c>
      <c r="O118" s="499" t="e">
        <v>#DIV/0!</v>
      </c>
      <c r="P118" s="309"/>
      <c r="Y118" s="168"/>
    </row>
    <row r="119" ht="16.5" customHeight="1" outlineLevel="3" spans="2:25">
      <c r="B119" s="470" t="s">
        <v>1755</v>
      </c>
      <c r="C119" s="473" t="s">
        <v>622</v>
      </c>
      <c r="D119" s="508" t="s">
        <v>1756</v>
      </c>
      <c r="E119" s="290" t="s">
        <v>1380</v>
      </c>
      <c r="F119" s="290"/>
      <c r="G119" s="200"/>
      <c r="H119" s="503"/>
      <c r="I119" s="478"/>
      <c r="J119" s="478">
        <v>0</v>
      </c>
      <c r="K119" s="522"/>
      <c r="L119" s="477">
        <v>0</v>
      </c>
      <c r="M119" s="477">
        <v>0</v>
      </c>
      <c r="N119" s="477">
        <v>0</v>
      </c>
      <c r="O119" s="499" t="e">
        <v>#DIV/0!</v>
      </c>
      <c r="P119" s="523"/>
      <c r="Y119" s="168"/>
    </row>
    <row r="120" ht="16.5" customHeight="1" outlineLevel="3" spans="2:25">
      <c r="B120" s="470" t="s">
        <v>1757</v>
      </c>
      <c r="C120" s="473"/>
      <c r="D120" s="508" t="s">
        <v>1939</v>
      </c>
      <c r="E120" s="290"/>
      <c r="F120" s="290" t="s">
        <v>1537</v>
      </c>
      <c r="G120" s="510">
        <v>1.1</v>
      </c>
      <c r="H120" s="503" t="s">
        <v>1015</v>
      </c>
      <c r="I120" s="475">
        <v>0</v>
      </c>
      <c r="J120" s="475">
        <v>6</v>
      </c>
      <c r="K120" s="517">
        <v>0.17</v>
      </c>
      <c r="L120" s="477">
        <v>0</v>
      </c>
      <c r="M120" s="477">
        <v>0</v>
      </c>
      <c r="N120" s="498">
        <v>0</v>
      </c>
      <c r="O120" s="499"/>
      <c r="P120" s="523"/>
      <c r="Y120" s="168"/>
    </row>
    <row r="121" ht="16.5" customHeight="1" outlineLevel="3" spans="2:25">
      <c r="B121" s="470" t="s">
        <v>1759</v>
      </c>
      <c r="C121" s="473"/>
      <c r="D121" s="508" t="s">
        <v>1760</v>
      </c>
      <c r="E121" s="290"/>
      <c r="F121" s="290" t="s">
        <v>1537</v>
      </c>
      <c r="G121" s="510"/>
      <c r="H121" s="503" t="s">
        <v>1015</v>
      </c>
      <c r="I121" s="475">
        <v>0</v>
      </c>
      <c r="J121" s="475"/>
      <c r="K121" s="517">
        <v>0.17</v>
      </c>
      <c r="L121" s="477">
        <v>0</v>
      </c>
      <c r="M121" s="477">
        <v>0</v>
      </c>
      <c r="N121" s="498">
        <v>0</v>
      </c>
      <c r="O121" s="499"/>
      <c r="P121" s="523"/>
      <c r="Y121" s="168"/>
    </row>
    <row r="122" ht="16.5" customHeight="1" outlineLevel="3" spans="2:25">
      <c r="B122" s="470" t="s">
        <v>1761</v>
      </c>
      <c r="C122" s="473" t="s">
        <v>622</v>
      </c>
      <c r="D122" s="508" t="s">
        <v>1762</v>
      </c>
      <c r="E122" s="290" t="s">
        <v>1381</v>
      </c>
      <c r="F122" s="290"/>
      <c r="G122" s="200"/>
      <c r="H122" s="108"/>
      <c r="I122" s="478"/>
      <c r="J122" s="478">
        <v>0</v>
      </c>
      <c r="K122" s="522"/>
      <c r="L122" s="477">
        <v>0</v>
      </c>
      <c r="M122" s="477">
        <v>0</v>
      </c>
      <c r="N122" s="477">
        <v>0</v>
      </c>
      <c r="O122" s="499" t="e">
        <v>#DIV/0!</v>
      </c>
      <c r="P122" s="523"/>
      <c r="Y122" s="168"/>
    </row>
    <row r="123" ht="16.5" customHeight="1" outlineLevel="3" spans="2:25">
      <c r="B123" s="470" t="s">
        <v>1763</v>
      </c>
      <c r="C123" s="473"/>
      <c r="D123" s="508" t="s">
        <v>1940</v>
      </c>
      <c r="E123" s="290"/>
      <c r="F123" s="290" t="s">
        <v>1537</v>
      </c>
      <c r="G123" s="510">
        <v>1.1</v>
      </c>
      <c r="H123" s="503" t="s">
        <v>1015</v>
      </c>
      <c r="I123" s="475">
        <v>0</v>
      </c>
      <c r="J123" s="475">
        <v>29</v>
      </c>
      <c r="K123" s="517">
        <v>0.11</v>
      </c>
      <c r="L123" s="477">
        <v>0</v>
      </c>
      <c r="M123" s="477">
        <v>0</v>
      </c>
      <c r="N123" s="498">
        <v>0</v>
      </c>
      <c r="O123" s="499"/>
      <c r="P123" s="523"/>
      <c r="Y123" s="168"/>
    </row>
    <row r="124" s="456" customFormat="1" ht="16.5" customHeight="1" outlineLevel="3" spans="2:16">
      <c r="B124" s="470" t="s">
        <v>1765</v>
      </c>
      <c r="C124" s="561"/>
      <c r="D124" s="508" t="s">
        <v>1766</v>
      </c>
      <c r="E124" s="290"/>
      <c r="F124" s="290" t="s">
        <v>1537</v>
      </c>
      <c r="G124" s="562">
        <v>0.1</v>
      </c>
      <c r="H124" s="524" t="s">
        <v>1015</v>
      </c>
      <c r="I124" s="475">
        <v>0</v>
      </c>
      <c r="J124" s="475">
        <v>585</v>
      </c>
      <c r="K124" s="517">
        <v>0.11</v>
      </c>
      <c r="L124" s="292">
        <v>0</v>
      </c>
      <c r="M124" s="292">
        <v>0</v>
      </c>
      <c r="N124" s="498">
        <v>0</v>
      </c>
      <c r="O124" s="499"/>
      <c r="P124" s="309"/>
    </row>
    <row r="125" ht="16.5" customHeight="1" outlineLevel="3" spans="2:25">
      <c r="B125" s="470" t="s">
        <v>1767</v>
      </c>
      <c r="C125" s="473" t="s">
        <v>622</v>
      </c>
      <c r="D125" s="508" t="s">
        <v>1768</v>
      </c>
      <c r="E125" s="479" t="s">
        <v>1382</v>
      </c>
      <c r="F125" s="479"/>
      <c r="G125" s="511"/>
      <c r="H125" s="477"/>
      <c r="I125" s="478"/>
      <c r="J125" s="478">
        <v>0</v>
      </c>
      <c r="K125" s="522">
        <v>0.11</v>
      </c>
      <c r="L125" s="477">
        <v>0</v>
      </c>
      <c r="M125" s="477">
        <v>0</v>
      </c>
      <c r="N125" s="498">
        <v>0</v>
      </c>
      <c r="O125" s="499" t="e">
        <v>#DIV/0!</v>
      </c>
      <c r="P125" s="523"/>
      <c r="Y125" s="168"/>
    </row>
    <row r="126" ht="16.5" customHeight="1" outlineLevel="3" spans="2:25">
      <c r="B126" s="470" t="s">
        <v>1769</v>
      </c>
      <c r="C126" s="473" t="s">
        <v>622</v>
      </c>
      <c r="D126" s="508" t="s">
        <v>1770</v>
      </c>
      <c r="E126" s="479" t="s">
        <v>1383</v>
      </c>
      <c r="F126" s="479"/>
      <c r="G126" s="511"/>
      <c r="H126" s="477"/>
      <c r="I126" s="478"/>
      <c r="J126" s="478">
        <v>0</v>
      </c>
      <c r="K126" s="522">
        <v>0.11</v>
      </c>
      <c r="L126" s="477">
        <v>0</v>
      </c>
      <c r="M126" s="477">
        <v>0</v>
      </c>
      <c r="N126" s="498">
        <v>0</v>
      </c>
      <c r="O126" s="499" t="e">
        <v>#DIV/0!</v>
      </c>
      <c r="P126" s="523"/>
      <c r="Y126" s="168"/>
    </row>
    <row r="127" ht="16.5" customHeight="1" outlineLevel="3" spans="2:25">
      <c r="B127" s="470" t="s">
        <v>1771</v>
      </c>
      <c r="C127" s="473" t="s">
        <v>622</v>
      </c>
      <c r="D127" s="508" t="s">
        <v>1772</v>
      </c>
      <c r="E127" s="479" t="s">
        <v>1384</v>
      </c>
      <c r="F127" s="479"/>
      <c r="G127" s="511"/>
      <c r="H127" s="477"/>
      <c r="I127" s="475"/>
      <c r="J127" s="475">
        <v>0</v>
      </c>
      <c r="K127" s="517">
        <v>0.11</v>
      </c>
      <c r="L127" s="477">
        <v>0</v>
      </c>
      <c r="M127" s="477">
        <v>0</v>
      </c>
      <c r="N127" s="498">
        <v>0</v>
      </c>
      <c r="O127" s="499" t="e">
        <v>#DIV/0!</v>
      </c>
      <c r="P127" s="523"/>
      <c r="Y127" s="168"/>
    </row>
    <row r="128" ht="16.5" customHeight="1" outlineLevel="3" spans="2:25">
      <c r="B128" s="470" t="s">
        <v>1773</v>
      </c>
      <c r="C128" s="473" t="s">
        <v>622</v>
      </c>
      <c r="D128" s="508" t="s">
        <v>1774</v>
      </c>
      <c r="E128" s="479" t="s">
        <v>1385</v>
      </c>
      <c r="F128" s="479"/>
      <c r="G128" s="512"/>
      <c r="H128" s="477"/>
      <c r="I128" s="478"/>
      <c r="J128" s="478">
        <v>0</v>
      </c>
      <c r="K128" s="522">
        <v>0.17</v>
      </c>
      <c r="L128" s="477">
        <v>0</v>
      </c>
      <c r="M128" s="477">
        <v>0</v>
      </c>
      <c r="N128" s="498">
        <v>0</v>
      </c>
      <c r="O128" s="499" t="e">
        <v>#DIV/0!</v>
      </c>
      <c r="P128" s="523"/>
      <c r="Y128" s="168"/>
    </row>
    <row r="129" ht="16.5" customHeight="1" outlineLevel="3" spans="2:25">
      <c r="B129" s="470" t="s">
        <v>1775</v>
      </c>
      <c r="C129" s="473" t="s">
        <v>622</v>
      </c>
      <c r="D129" s="508" t="s">
        <v>1776</v>
      </c>
      <c r="E129" s="479" t="s">
        <v>774</v>
      </c>
      <c r="F129" s="479"/>
      <c r="G129" s="511"/>
      <c r="H129" s="477"/>
      <c r="I129" s="475"/>
      <c r="J129" s="475">
        <v>0</v>
      </c>
      <c r="K129" s="517">
        <v>0.11</v>
      </c>
      <c r="L129" s="477">
        <v>0</v>
      </c>
      <c r="M129" s="477">
        <v>0</v>
      </c>
      <c r="N129" s="498">
        <v>0</v>
      </c>
      <c r="O129" s="499" t="e">
        <v>#DIV/0!</v>
      </c>
      <c r="P129" s="523"/>
      <c r="Y129" s="168"/>
    </row>
    <row r="130" ht="16.5" customHeight="1" outlineLevel="3" spans="2:25">
      <c r="B130" s="470" t="s">
        <v>1777</v>
      </c>
      <c r="C130" s="473" t="s">
        <v>622</v>
      </c>
      <c r="D130" s="508" t="s">
        <v>1778</v>
      </c>
      <c r="E130" s="479" t="s">
        <v>1387</v>
      </c>
      <c r="F130" s="479" t="s">
        <v>602</v>
      </c>
      <c r="G130" s="513">
        <v>0</v>
      </c>
      <c r="H130" s="503" t="s">
        <v>1832</v>
      </c>
      <c r="I130" s="475">
        <v>15</v>
      </c>
      <c r="J130" s="475">
        <v>1350</v>
      </c>
      <c r="K130" s="517">
        <v>0.11</v>
      </c>
      <c r="L130" s="477">
        <v>0</v>
      </c>
      <c r="M130" s="477">
        <v>0</v>
      </c>
      <c r="N130" s="498">
        <v>0</v>
      </c>
      <c r="O130" s="499" t="e">
        <v>#DIV/0!</v>
      </c>
      <c r="P130" s="309"/>
      <c r="Y130" s="168"/>
    </row>
    <row r="131" ht="16.5" customHeight="1" outlineLevel="3" spans="2:25">
      <c r="B131" s="470" t="s">
        <v>1780</v>
      </c>
      <c r="C131" s="473" t="s">
        <v>622</v>
      </c>
      <c r="D131" s="508" t="s">
        <v>1781</v>
      </c>
      <c r="E131" s="479" t="s">
        <v>1388</v>
      </c>
      <c r="F131" s="479" t="s">
        <v>1782</v>
      </c>
      <c r="G131" s="510">
        <v>1</v>
      </c>
      <c r="H131" s="524"/>
      <c r="I131" s="543">
        <v>2</v>
      </c>
      <c r="J131" s="475">
        <v>100000</v>
      </c>
      <c r="K131" s="517">
        <v>0.11</v>
      </c>
      <c r="L131" s="477">
        <v>0</v>
      </c>
      <c r="M131" s="477">
        <v>0</v>
      </c>
      <c r="N131" s="498">
        <v>0</v>
      </c>
      <c r="O131" s="499" t="e">
        <v>#DIV/0!</v>
      </c>
      <c r="P131" s="309"/>
      <c r="Y131" s="168"/>
    </row>
    <row r="132" ht="16.5" customHeight="1" outlineLevel="3" spans="2:25">
      <c r="B132" s="470" t="s">
        <v>1783</v>
      </c>
      <c r="C132" s="473" t="s">
        <v>622</v>
      </c>
      <c r="D132" s="508" t="s">
        <v>1787</v>
      </c>
      <c r="E132" s="479" t="s">
        <v>774</v>
      </c>
      <c r="F132" s="290" t="s">
        <v>1537</v>
      </c>
      <c r="G132" s="510">
        <v>1</v>
      </c>
      <c r="H132" s="524" t="s">
        <v>655</v>
      </c>
      <c r="I132" s="475">
        <v>0</v>
      </c>
      <c r="J132" s="475">
        <v>9</v>
      </c>
      <c r="K132" s="517">
        <v>0.11</v>
      </c>
      <c r="L132" s="477">
        <v>0</v>
      </c>
      <c r="M132" s="477">
        <v>0</v>
      </c>
      <c r="N132" s="498">
        <v>0</v>
      </c>
      <c r="O132" s="499" t="e">
        <v>#DIV/0!</v>
      </c>
      <c r="P132" s="309"/>
      <c r="Y132" s="168"/>
    </row>
    <row r="133" ht="16.5" customHeight="1" outlineLevel="2" spans="2:25">
      <c r="B133" s="470" t="s">
        <v>1788</v>
      </c>
      <c r="C133" s="471" t="s">
        <v>657</v>
      </c>
      <c r="D133" s="508" t="s">
        <v>1789</v>
      </c>
      <c r="E133" s="290"/>
      <c r="F133" s="290"/>
      <c r="G133" s="292"/>
      <c r="H133" s="292"/>
      <c r="I133" s="475"/>
      <c r="J133" s="475">
        <v>0</v>
      </c>
      <c r="K133" s="517"/>
      <c r="L133" s="301">
        <v>0</v>
      </c>
      <c r="M133" s="301">
        <v>0</v>
      </c>
      <c r="N133" s="301">
        <v>0</v>
      </c>
      <c r="O133" s="499" t="e">
        <v>#DIV/0!</v>
      </c>
      <c r="P133" s="309"/>
      <c r="Y133" s="168"/>
    </row>
    <row r="134" ht="16.5" customHeight="1" outlineLevel="3" spans="2:25">
      <c r="B134" s="470" t="s">
        <v>1790</v>
      </c>
      <c r="C134" s="473" t="s">
        <v>622</v>
      </c>
      <c r="D134" s="508" t="s">
        <v>1791</v>
      </c>
      <c r="E134" s="479" t="s">
        <v>1387</v>
      </c>
      <c r="F134" s="479" t="s">
        <v>1792</v>
      </c>
      <c r="G134" s="525">
        <v>10.71</v>
      </c>
      <c r="H134" s="503" t="s">
        <v>1793</v>
      </c>
      <c r="I134" s="543">
        <v>409</v>
      </c>
      <c r="J134" s="475">
        <v>50</v>
      </c>
      <c r="K134" s="517">
        <v>0.11</v>
      </c>
      <c r="L134" s="477">
        <v>0</v>
      </c>
      <c r="M134" s="477">
        <v>0</v>
      </c>
      <c r="N134" s="498">
        <v>0</v>
      </c>
      <c r="O134" s="499" t="e">
        <v>#DIV/0!</v>
      </c>
      <c r="P134" s="309"/>
      <c r="Y134" s="168"/>
    </row>
    <row r="135" ht="16.5" customHeight="1" outlineLevel="3" spans="2:25">
      <c r="B135" s="470" t="s">
        <v>1794</v>
      </c>
      <c r="C135" s="473" t="s">
        <v>622</v>
      </c>
      <c r="D135" s="508" t="s">
        <v>1795</v>
      </c>
      <c r="E135" s="479" t="s">
        <v>1387</v>
      </c>
      <c r="F135" s="479"/>
      <c r="G135" s="525"/>
      <c r="H135" s="292"/>
      <c r="I135" s="475"/>
      <c r="J135" s="475">
        <v>0</v>
      </c>
      <c r="K135" s="517">
        <v>0.11</v>
      </c>
      <c r="L135" s="477">
        <v>0</v>
      </c>
      <c r="M135" s="477">
        <v>0</v>
      </c>
      <c r="N135" s="498">
        <v>0</v>
      </c>
      <c r="O135" s="499" t="e">
        <v>#DIV/0!</v>
      </c>
      <c r="P135" s="309"/>
      <c r="Y135" s="168"/>
    </row>
    <row r="136" ht="16.5" customHeight="1" outlineLevel="3" spans="2:25">
      <c r="B136" s="470" t="s">
        <v>1796</v>
      </c>
      <c r="C136" s="473" t="s">
        <v>622</v>
      </c>
      <c r="D136" s="508" t="s">
        <v>1797</v>
      </c>
      <c r="E136" s="479" t="s">
        <v>1387</v>
      </c>
      <c r="F136" s="479" t="s">
        <v>601</v>
      </c>
      <c r="G136" s="525">
        <v>6.6</v>
      </c>
      <c r="H136" s="292" t="s">
        <v>1637</v>
      </c>
      <c r="I136" s="475">
        <v>0</v>
      </c>
      <c r="J136" s="475">
        <v>145</v>
      </c>
      <c r="K136" s="517">
        <v>0.11</v>
      </c>
      <c r="L136" s="477">
        <v>0</v>
      </c>
      <c r="M136" s="477">
        <v>0</v>
      </c>
      <c r="N136" s="498">
        <v>0</v>
      </c>
      <c r="O136" s="499" t="e">
        <v>#DIV/0!</v>
      </c>
      <c r="P136" s="309"/>
      <c r="Y136" s="168"/>
    </row>
    <row r="137" ht="16.5" customHeight="1" outlineLevel="3" spans="2:25">
      <c r="B137" s="470" t="s">
        <v>1798</v>
      </c>
      <c r="C137" s="473" t="s">
        <v>622</v>
      </c>
      <c r="D137" s="508" t="s">
        <v>1799</v>
      </c>
      <c r="E137" s="479" t="s">
        <v>1386</v>
      </c>
      <c r="F137" s="479" t="s">
        <v>601</v>
      </c>
      <c r="G137" s="510">
        <v>5.9</v>
      </c>
      <c r="H137" s="524" t="s">
        <v>1637</v>
      </c>
      <c r="I137" s="475">
        <v>0</v>
      </c>
      <c r="J137" s="475">
        <v>118</v>
      </c>
      <c r="K137" s="517">
        <v>0.11</v>
      </c>
      <c r="L137" s="477">
        <v>0</v>
      </c>
      <c r="M137" s="477">
        <v>0</v>
      </c>
      <c r="N137" s="498">
        <v>0</v>
      </c>
      <c r="O137" s="499" t="e">
        <v>#DIV/0!</v>
      </c>
      <c r="P137" s="309"/>
      <c r="Y137" s="168"/>
    </row>
    <row r="138" ht="16.5" customHeight="1" outlineLevel="3" spans="2:25">
      <c r="B138" s="470" t="s">
        <v>1800</v>
      </c>
      <c r="C138" s="473" t="s">
        <v>622</v>
      </c>
      <c r="D138" s="508" t="s">
        <v>1801</v>
      </c>
      <c r="E138" s="479" t="s">
        <v>1387</v>
      </c>
      <c r="F138" s="479" t="s">
        <v>601</v>
      </c>
      <c r="G138" s="511">
        <v>0.08</v>
      </c>
      <c r="H138" s="292" t="s">
        <v>655</v>
      </c>
      <c r="I138" s="475">
        <v>0</v>
      </c>
      <c r="J138" s="475">
        <v>145</v>
      </c>
      <c r="K138" s="517">
        <v>0.11</v>
      </c>
      <c r="L138" s="477">
        <v>0</v>
      </c>
      <c r="M138" s="477">
        <v>0</v>
      </c>
      <c r="N138" s="498">
        <v>0</v>
      </c>
      <c r="O138" s="499" t="e">
        <v>#DIV/0!</v>
      </c>
      <c r="P138" s="309"/>
      <c r="Y138" s="168"/>
    </row>
    <row r="139" ht="16.5" customHeight="1" outlineLevel="2" spans="2:25">
      <c r="B139" s="470" t="s">
        <v>1802</v>
      </c>
      <c r="C139" s="471" t="s">
        <v>762</v>
      </c>
      <c r="D139" s="508" t="s">
        <v>1803</v>
      </c>
      <c r="E139" s="290"/>
      <c r="F139" s="290"/>
      <c r="G139" s="292"/>
      <c r="H139" s="292"/>
      <c r="I139" s="475"/>
      <c r="J139" s="475">
        <v>0</v>
      </c>
      <c r="K139" s="517"/>
      <c r="L139" s="301">
        <v>0</v>
      </c>
      <c r="M139" s="301">
        <v>0</v>
      </c>
      <c r="N139" s="301">
        <v>0</v>
      </c>
      <c r="O139" s="499" t="e">
        <v>#DIV/0!</v>
      </c>
      <c r="P139" s="309"/>
      <c r="Y139" s="168"/>
    </row>
    <row r="140" ht="16.5" customHeight="1" outlineLevel="3" spans="2:25">
      <c r="B140" s="470" t="s">
        <v>1804</v>
      </c>
      <c r="C140" s="473" t="s">
        <v>622</v>
      </c>
      <c r="D140" s="508" t="s">
        <v>1805</v>
      </c>
      <c r="E140" s="479" t="s">
        <v>1386</v>
      </c>
      <c r="F140" s="479" t="s">
        <v>602</v>
      </c>
      <c r="G140" s="502">
        <v>1</v>
      </c>
      <c r="H140" s="503" t="s">
        <v>1806</v>
      </c>
      <c r="I140" s="475">
        <v>0</v>
      </c>
      <c r="J140" s="475">
        <v>6300</v>
      </c>
      <c r="K140" s="517">
        <v>0.11</v>
      </c>
      <c r="L140" s="477">
        <v>0</v>
      </c>
      <c r="M140" s="477">
        <v>0</v>
      </c>
      <c r="N140" s="498">
        <v>0</v>
      </c>
      <c r="O140" s="499" t="e">
        <v>#DIV/0!</v>
      </c>
      <c r="P140" s="309"/>
      <c r="Y140" s="168"/>
    </row>
    <row r="141" ht="16.5" customHeight="1" outlineLevel="3" spans="2:25">
      <c r="B141" s="470" t="s">
        <v>1807</v>
      </c>
      <c r="C141" s="473" t="s">
        <v>622</v>
      </c>
      <c r="D141" s="508" t="s">
        <v>1808</v>
      </c>
      <c r="E141" s="479" t="s">
        <v>1389</v>
      </c>
      <c r="F141" s="479" t="s">
        <v>601</v>
      </c>
      <c r="G141" s="525">
        <v>1</v>
      </c>
      <c r="H141" s="292" t="s">
        <v>1809</v>
      </c>
      <c r="I141" s="475">
        <v>0</v>
      </c>
      <c r="J141" s="475">
        <v>990</v>
      </c>
      <c r="K141" s="517">
        <v>0.11</v>
      </c>
      <c r="L141" s="477">
        <v>0</v>
      </c>
      <c r="M141" s="477">
        <v>0</v>
      </c>
      <c r="N141" s="498">
        <v>0</v>
      </c>
      <c r="O141" s="499" t="e">
        <v>#DIV/0!</v>
      </c>
      <c r="P141" s="309"/>
      <c r="Y141" s="168"/>
    </row>
    <row r="142" ht="16.5" customHeight="1" outlineLevel="3" spans="2:25">
      <c r="B142" s="470" t="s">
        <v>1810</v>
      </c>
      <c r="C142" s="473" t="s">
        <v>622</v>
      </c>
      <c r="D142" s="508" t="s">
        <v>1811</v>
      </c>
      <c r="E142" s="290" t="s">
        <v>931</v>
      </c>
      <c r="F142" s="479" t="s">
        <v>1792</v>
      </c>
      <c r="G142" s="525">
        <v>2</v>
      </c>
      <c r="H142" s="503" t="s">
        <v>821</v>
      </c>
      <c r="I142" s="475">
        <v>125</v>
      </c>
      <c r="J142" s="475">
        <v>940</v>
      </c>
      <c r="K142" s="517">
        <v>0.11</v>
      </c>
      <c r="L142" s="477">
        <v>0</v>
      </c>
      <c r="M142" s="477">
        <v>0</v>
      </c>
      <c r="N142" s="498">
        <v>0</v>
      </c>
      <c r="O142" s="499" t="e">
        <v>#DIV/0!</v>
      </c>
      <c r="P142" s="309"/>
      <c r="Y142" s="168"/>
    </row>
    <row r="143" ht="16.5" customHeight="1" outlineLevel="3" spans="2:25">
      <c r="B143" s="470" t="s">
        <v>1812</v>
      </c>
      <c r="C143" s="473" t="s">
        <v>622</v>
      </c>
      <c r="D143" s="508" t="s">
        <v>1813</v>
      </c>
      <c r="E143" s="479" t="s">
        <v>1386</v>
      </c>
      <c r="F143" s="290" t="s">
        <v>1537</v>
      </c>
      <c r="G143" s="510">
        <v>0.22</v>
      </c>
      <c r="H143" s="503" t="s">
        <v>1015</v>
      </c>
      <c r="I143" s="475">
        <v>0</v>
      </c>
      <c r="J143" s="475">
        <v>490</v>
      </c>
      <c r="K143" s="517">
        <v>0.11</v>
      </c>
      <c r="L143" s="477">
        <v>0</v>
      </c>
      <c r="M143" s="477">
        <v>0</v>
      </c>
      <c r="N143" s="498">
        <v>0</v>
      </c>
      <c r="O143" s="499" t="e">
        <v>#DIV/0!</v>
      </c>
      <c r="P143" s="309"/>
      <c r="Y143" s="168"/>
    </row>
    <row r="144" ht="16.5" customHeight="1" outlineLevel="2" spans="2:25">
      <c r="B144" s="470" t="s">
        <v>1814</v>
      </c>
      <c r="C144" s="471" t="s">
        <v>778</v>
      </c>
      <c r="D144" s="508" t="s">
        <v>1815</v>
      </c>
      <c r="E144" s="290"/>
      <c r="F144" s="290"/>
      <c r="G144" s="292"/>
      <c r="H144" s="292"/>
      <c r="I144" s="475"/>
      <c r="J144" s="475">
        <v>0</v>
      </c>
      <c r="K144" s="517"/>
      <c r="L144" s="301">
        <v>0</v>
      </c>
      <c r="M144" s="301">
        <v>0</v>
      </c>
      <c r="N144" s="301">
        <v>0</v>
      </c>
      <c r="O144" s="499" t="e">
        <v>#DIV/0!</v>
      </c>
      <c r="P144" s="309"/>
      <c r="Y144" s="168"/>
    </row>
    <row r="145" ht="16.5" customHeight="1" outlineLevel="3" spans="2:25">
      <c r="B145" s="470" t="s">
        <v>1816</v>
      </c>
      <c r="C145" s="473" t="s">
        <v>622</v>
      </c>
      <c r="D145" s="526" t="s">
        <v>1817</v>
      </c>
      <c r="E145" s="502" t="s">
        <v>774</v>
      </c>
      <c r="F145" s="502" t="s">
        <v>862</v>
      </c>
      <c r="G145" s="502">
        <v>1</v>
      </c>
      <c r="H145" s="292" t="s">
        <v>1015</v>
      </c>
      <c r="I145" s="475">
        <v>0</v>
      </c>
      <c r="J145" s="475">
        <v>225</v>
      </c>
      <c r="K145" s="517">
        <v>0.11</v>
      </c>
      <c r="L145" s="477">
        <v>0</v>
      </c>
      <c r="M145" s="477">
        <v>0</v>
      </c>
      <c r="N145" s="498">
        <v>0</v>
      </c>
      <c r="O145" s="499" t="e">
        <v>#DIV/0!</v>
      </c>
      <c r="P145" s="309"/>
      <c r="Y145" s="168"/>
    </row>
    <row r="146" ht="16.5" customHeight="1" outlineLevel="3" spans="2:25">
      <c r="B146" s="470" t="s">
        <v>1818</v>
      </c>
      <c r="C146" s="473" t="s">
        <v>622</v>
      </c>
      <c r="D146" s="526" t="s">
        <v>1819</v>
      </c>
      <c r="E146" s="502" t="s">
        <v>774</v>
      </c>
      <c r="F146" s="290" t="s">
        <v>1537</v>
      </c>
      <c r="G146" s="502">
        <v>1</v>
      </c>
      <c r="H146" s="292" t="s">
        <v>1015</v>
      </c>
      <c r="I146" s="475">
        <v>0</v>
      </c>
      <c r="J146" s="475">
        <v>9</v>
      </c>
      <c r="K146" s="517">
        <v>0.11</v>
      </c>
      <c r="L146" s="477">
        <v>0</v>
      </c>
      <c r="M146" s="477">
        <v>0</v>
      </c>
      <c r="N146" s="498">
        <v>0</v>
      </c>
      <c r="O146" s="499" t="e">
        <v>#DIV/0!</v>
      </c>
      <c r="P146" s="309"/>
      <c r="Y146" s="168"/>
    </row>
    <row r="147" ht="16.5" customHeight="1" outlineLevel="3" spans="2:25">
      <c r="B147" s="470" t="s">
        <v>1820</v>
      </c>
      <c r="C147" s="473" t="s">
        <v>622</v>
      </c>
      <c r="D147" s="526" t="s">
        <v>1821</v>
      </c>
      <c r="E147" s="502" t="s">
        <v>1390</v>
      </c>
      <c r="F147" s="502"/>
      <c r="G147" s="502"/>
      <c r="H147" s="524"/>
      <c r="I147" s="475"/>
      <c r="J147" s="475">
        <v>0</v>
      </c>
      <c r="K147" s="517">
        <v>0.17</v>
      </c>
      <c r="L147" s="477">
        <v>0</v>
      </c>
      <c r="M147" s="477">
        <v>0</v>
      </c>
      <c r="N147" s="498">
        <v>0</v>
      </c>
      <c r="O147" s="499" t="e">
        <v>#DIV/0!</v>
      </c>
      <c r="P147" s="309"/>
      <c r="Y147" s="168"/>
    </row>
    <row r="148" ht="16.5" customHeight="1" outlineLevel="3" spans="2:25">
      <c r="B148" s="470" t="s">
        <v>1822</v>
      </c>
      <c r="C148" s="473" t="s">
        <v>622</v>
      </c>
      <c r="D148" s="526" t="s">
        <v>1823</v>
      </c>
      <c r="E148" s="290" t="s">
        <v>1073</v>
      </c>
      <c r="F148" s="290" t="s">
        <v>1537</v>
      </c>
      <c r="G148" s="510">
        <v>1</v>
      </c>
      <c r="H148" s="503" t="s">
        <v>655</v>
      </c>
      <c r="I148" s="475">
        <v>0</v>
      </c>
      <c r="J148" s="475">
        <v>1.5</v>
      </c>
      <c r="K148" s="517">
        <v>0.11</v>
      </c>
      <c r="L148" s="477">
        <v>0</v>
      </c>
      <c r="M148" s="477">
        <v>0</v>
      </c>
      <c r="N148" s="498">
        <v>0</v>
      </c>
      <c r="O148" s="499" t="e">
        <v>#DIV/0!</v>
      </c>
      <c r="P148" s="309"/>
      <c r="Y148" s="168"/>
    </row>
    <row r="149" ht="16.5" customHeight="1" outlineLevel="3" spans="2:25">
      <c r="B149" s="470" t="s">
        <v>1824</v>
      </c>
      <c r="C149" s="473" t="s">
        <v>622</v>
      </c>
      <c r="D149" s="526" t="s">
        <v>1825</v>
      </c>
      <c r="E149" s="479" t="s">
        <v>1391</v>
      </c>
      <c r="F149" s="479" t="s">
        <v>601</v>
      </c>
      <c r="G149" s="502">
        <v>1</v>
      </c>
      <c r="H149" s="524" t="s">
        <v>1826</v>
      </c>
      <c r="I149" s="475">
        <v>0</v>
      </c>
      <c r="J149" s="475">
        <v>200</v>
      </c>
      <c r="K149" s="517">
        <v>0.11</v>
      </c>
      <c r="L149" s="477">
        <v>0</v>
      </c>
      <c r="M149" s="477">
        <v>0</v>
      </c>
      <c r="N149" s="498">
        <v>0</v>
      </c>
      <c r="O149" s="499" t="e">
        <v>#DIV/0!</v>
      </c>
      <c r="P149" s="309"/>
      <c r="Y149" s="168"/>
    </row>
    <row r="150" ht="16.5" customHeight="1" outlineLevel="3" spans="2:25">
      <c r="B150" s="470"/>
      <c r="C150" s="473"/>
      <c r="D150" s="526"/>
      <c r="E150" s="290"/>
      <c r="F150" s="290"/>
      <c r="G150" s="510"/>
      <c r="H150" s="503"/>
      <c r="I150" s="475"/>
      <c r="J150" s="475">
        <v>0</v>
      </c>
      <c r="K150" s="517"/>
      <c r="L150" s="524"/>
      <c r="M150" s="524"/>
      <c r="N150" s="498"/>
      <c r="O150" s="499"/>
      <c r="P150" s="309"/>
      <c r="Y150" s="168"/>
    </row>
    <row r="151" ht="16.5" customHeight="1" outlineLevel="1" spans="2:25">
      <c r="B151" s="121" t="s">
        <v>551</v>
      </c>
      <c r="C151" s="193">
        <v>2</v>
      </c>
      <c r="D151" s="121" t="s">
        <v>552</v>
      </c>
      <c r="E151" s="193"/>
      <c r="F151" s="193"/>
      <c r="G151" s="193"/>
      <c r="H151" s="155"/>
      <c r="I151" s="492"/>
      <c r="J151" s="492"/>
      <c r="K151" s="521"/>
      <c r="L151" s="155">
        <v>0</v>
      </c>
      <c r="M151" s="155">
        <v>0</v>
      </c>
      <c r="N151" s="155">
        <v>0</v>
      </c>
      <c r="O151" s="495" t="e">
        <v>#DIV/0!</v>
      </c>
      <c r="P151" s="233"/>
      <c r="Y151" s="168"/>
    </row>
    <row r="152" ht="16.5" customHeight="1" outlineLevel="2" spans="2:25">
      <c r="B152" s="470" t="s">
        <v>1828</v>
      </c>
      <c r="C152" s="471" t="s">
        <v>619</v>
      </c>
      <c r="D152" s="508" t="s">
        <v>1829</v>
      </c>
      <c r="E152" s="290"/>
      <c r="F152" s="290"/>
      <c r="G152" s="292"/>
      <c r="H152" s="292"/>
      <c r="I152" s="475"/>
      <c r="J152" s="475">
        <v>0</v>
      </c>
      <c r="K152" s="517"/>
      <c r="L152" s="301">
        <v>0</v>
      </c>
      <c r="M152" s="301">
        <v>0</v>
      </c>
      <c r="N152" s="475">
        <v>0</v>
      </c>
      <c r="O152" s="499" t="e">
        <v>#DIV/0!</v>
      </c>
      <c r="P152" s="309"/>
      <c r="Y152" s="168"/>
    </row>
    <row r="153" ht="16.5" customHeight="1" outlineLevel="3" spans="2:25">
      <c r="B153" s="470" t="s">
        <v>1830</v>
      </c>
      <c r="C153" s="473" t="s">
        <v>622</v>
      </c>
      <c r="D153" s="526" t="s">
        <v>1831</v>
      </c>
      <c r="E153" s="290" t="s">
        <v>1363</v>
      </c>
      <c r="F153" s="290" t="s">
        <v>602</v>
      </c>
      <c r="G153" s="292">
        <v>30.44</v>
      </c>
      <c r="H153" s="503" t="s">
        <v>1832</v>
      </c>
      <c r="I153" s="475">
        <v>0</v>
      </c>
      <c r="J153" s="475">
        <v>1240</v>
      </c>
      <c r="K153" s="517">
        <v>0.11</v>
      </c>
      <c r="L153" s="477">
        <v>0</v>
      </c>
      <c r="M153" s="477">
        <v>0</v>
      </c>
      <c r="N153" s="498">
        <v>0</v>
      </c>
      <c r="O153" s="499" t="e">
        <v>#DIV/0!</v>
      </c>
      <c r="P153" s="309"/>
      <c r="Y153" s="168"/>
    </row>
    <row r="154" ht="16.5" customHeight="1" outlineLevel="3" spans="2:25">
      <c r="B154" s="470" t="s">
        <v>1833</v>
      </c>
      <c r="C154" s="473" t="s">
        <v>622</v>
      </c>
      <c r="D154" s="526" t="s">
        <v>1834</v>
      </c>
      <c r="E154" s="290" t="s">
        <v>1371</v>
      </c>
      <c r="F154" s="290" t="s">
        <v>602</v>
      </c>
      <c r="G154" s="292">
        <v>30.44</v>
      </c>
      <c r="H154" s="503" t="s">
        <v>1832</v>
      </c>
      <c r="I154" s="475">
        <v>0</v>
      </c>
      <c r="J154" s="475">
        <v>85</v>
      </c>
      <c r="K154" s="517">
        <v>0.17</v>
      </c>
      <c r="L154" s="477">
        <v>0</v>
      </c>
      <c r="M154" s="477">
        <v>0</v>
      </c>
      <c r="N154" s="498">
        <v>0</v>
      </c>
      <c r="O154" s="499" t="e">
        <v>#DIV/0!</v>
      </c>
      <c r="P154" s="309"/>
      <c r="Y154" s="168"/>
    </row>
    <row r="155" ht="16.5" customHeight="1" outlineLevel="3" spans="2:25">
      <c r="B155" s="470" t="s">
        <v>1835</v>
      </c>
      <c r="C155" s="473" t="s">
        <v>622</v>
      </c>
      <c r="D155" s="526" t="s">
        <v>1836</v>
      </c>
      <c r="E155" s="290" t="s">
        <v>1373</v>
      </c>
      <c r="F155" s="290" t="s">
        <v>602</v>
      </c>
      <c r="G155" s="292">
        <v>30.44</v>
      </c>
      <c r="H155" s="503" t="s">
        <v>1832</v>
      </c>
      <c r="I155" s="475">
        <v>0</v>
      </c>
      <c r="J155" s="475">
        <v>17</v>
      </c>
      <c r="K155" s="517">
        <v>0.17</v>
      </c>
      <c r="L155" s="477">
        <v>0</v>
      </c>
      <c r="M155" s="477">
        <v>0</v>
      </c>
      <c r="N155" s="498">
        <v>0</v>
      </c>
      <c r="O155" s="499" t="e">
        <v>#DIV/0!</v>
      </c>
      <c r="P155" s="309"/>
      <c r="Y155" s="168"/>
    </row>
    <row r="156" ht="16.5" customHeight="1" outlineLevel="3" spans="2:25">
      <c r="B156" s="470" t="s">
        <v>1837</v>
      </c>
      <c r="C156" s="473" t="s">
        <v>622</v>
      </c>
      <c r="D156" s="526" t="s">
        <v>1838</v>
      </c>
      <c r="E156" s="528" t="s">
        <v>261</v>
      </c>
      <c r="F156" s="290"/>
      <c r="G156" s="292"/>
      <c r="H156" s="292"/>
      <c r="I156" s="475"/>
      <c r="J156" s="475">
        <v>0</v>
      </c>
      <c r="K156" s="517">
        <v>0.11</v>
      </c>
      <c r="L156" s="477">
        <v>0</v>
      </c>
      <c r="M156" s="477">
        <v>0</v>
      </c>
      <c r="N156" s="498">
        <v>0</v>
      </c>
      <c r="O156" s="499" t="e">
        <v>#DIV/0!</v>
      </c>
      <c r="P156" s="309"/>
      <c r="Y156" s="168"/>
    </row>
    <row r="157" ht="16.5" customHeight="1" outlineLevel="3" spans="2:25">
      <c r="B157" s="470" t="s">
        <v>1839</v>
      </c>
      <c r="C157" s="473" t="s">
        <v>622</v>
      </c>
      <c r="D157" s="526" t="s">
        <v>1840</v>
      </c>
      <c r="E157" s="290"/>
      <c r="F157" s="290"/>
      <c r="G157" s="108"/>
      <c r="H157" s="292"/>
      <c r="I157" s="475"/>
      <c r="J157" s="475">
        <v>0</v>
      </c>
      <c r="K157" s="517">
        <v>0.17</v>
      </c>
      <c r="L157" s="477">
        <v>0</v>
      </c>
      <c r="M157" s="477">
        <v>0</v>
      </c>
      <c r="N157" s="498">
        <v>0</v>
      </c>
      <c r="O157" s="499" t="e">
        <v>#DIV/0!</v>
      </c>
      <c r="P157" s="523"/>
      <c r="Y157" s="168"/>
    </row>
    <row r="158" ht="16.5" customHeight="1" outlineLevel="3" spans="2:25">
      <c r="B158" s="470" t="s">
        <v>1839</v>
      </c>
      <c r="C158" s="473" t="s">
        <v>622</v>
      </c>
      <c r="D158" s="526" t="s">
        <v>1842</v>
      </c>
      <c r="E158" s="290"/>
      <c r="F158" s="290"/>
      <c r="G158" s="108"/>
      <c r="H158" s="292"/>
      <c r="I158" s="475"/>
      <c r="J158" s="475">
        <v>0</v>
      </c>
      <c r="K158" s="517">
        <v>0.11</v>
      </c>
      <c r="L158" s="477">
        <v>0</v>
      </c>
      <c r="M158" s="477">
        <v>0</v>
      </c>
      <c r="N158" s="498">
        <v>0</v>
      </c>
      <c r="O158" s="499" t="e">
        <v>#DIV/0!</v>
      </c>
      <c r="P158" s="523"/>
      <c r="Y158" s="168"/>
    </row>
    <row r="159" ht="16.5" customHeight="1" outlineLevel="2" spans="2:25">
      <c r="B159" s="470" t="s">
        <v>1843</v>
      </c>
      <c r="C159" s="471" t="s">
        <v>657</v>
      </c>
      <c r="D159" s="508" t="s">
        <v>1844</v>
      </c>
      <c r="E159" s="290"/>
      <c r="F159" s="290"/>
      <c r="G159" s="292"/>
      <c r="H159" s="292"/>
      <c r="I159" s="475"/>
      <c r="J159" s="475">
        <v>0</v>
      </c>
      <c r="K159" s="517"/>
      <c r="L159" s="301">
        <v>0</v>
      </c>
      <c r="M159" s="301">
        <v>0</v>
      </c>
      <c r="N159" s="475">
        <v>0</v>
      </c>
      <c r="O159" s="499" t="e">
        <v>#DIV/0!</v>
      </c>
      <c r="P159" s="309"/>
      <c r="Y159" s="168"/>
    </row>
    <row r="160" ht="16.5" customHeight="1" outlineLevel="3" spans="2:25">
      <c r="B160" s="470" t="s">
        <v>1845</v>
      </c>
      <c r="C160" s="473" t="s">
        <v>622</v>
      </c>
      <c r="D160" s="526" t="s">
        <v>1846</v>
      </c>
      <c r="E160" s="290" t="s">
        <v>1363</v>
      </c>
      <c r="F160" s="290" t="s">
        <v>602</v>
      </c>
      <c r="G160" s="292">
        <v>9.35</v>
      </c>
      <c r="H160" s="503" t="s">
        <v>1832</v>
      </c>
      <c r="I160" s="475">
        <v>0</v>
      </c>
      <c r="J160" s="475">
        <v>1240</v>
      </c>
      <c r="K160" s="517">
        <v>0.11</v>
      </c>
      <c r="L160" s="477">
        <v>0</v>
      </c>
      <c r="M160" s="477">
        <v>0</v>
      </c>
      <c r="N160" s="498">
        <v>0</v>
      </c>
      <c r="O160" s="499" t="e">
        <v>#DIV/0!</v>
      </c>
      <c r="P160" s="309"/>
      <c r="Y160" s="168"/>
    </row>
    <row r="161" ht="16.5" customHeight="1" outlineLevel="3" spans="2:25">
      <c r="B161" s="470" t="s">
        <v>1847</v>
      </c>
      <c r="C161" s="473" t="s">
        <v>622</v>
      </c>
      <c r="D161" s="526" t="s">
        <v>1848</v>
      </c>
      <c r="E161" s="290" t="s">
        <v>1371</v>
      </c>
      <c r="F161" s="290" t="s">
        <v>602</v>
      </c>
      <c r="G161" s="292">
        <v>9.35</v>
      </c>
      <c r="H161" s="503" t="s">
        <v>1832</v>
      </c>
      <c r="I161" s="475">
        <v>0</v>
      </c>
      <c r="J161" s="475">
        <v>85</v>
      </c>
      <c r="K161" s="517">
        <v>0.17</v>
      </c>
      <c r="L161" s="477">
        <v>0</v>
      </c>
      <c r="M161" s="477">
        <v>0</v>
      </c>
      <c r="N161" s="498">
        <v>0</v>
      </c>
      <c r="O161" s="499" t="e">
        <v>#DIV/0!</v>
      </c>
      <c r="P161" s="309"/>
      <c r="Y161" s="168"/>
    </row>
    <row r="162" ht="16.5" customHeight="1" outlineLevel="3" spans="2:25">
      <c r="B162" s="470" t="s">
        <v>1849</v>
      </c>
      <c r="C162" s="473" t="s">
        <v>622</v>
      </c>
      <c r="D162" s="526" t="s">
        <v>1850</v>
      </c>
      <c r="E162" s="290" t="s">
        <v>1373</v>
      </c>
      <c r="F162" s="290" t="s">
        <v>602</v>
      </c>
      <c r="G162" s="292">
        <v>9.35</v>
      </c>
      <c r="H162" s="503" t="s">
        <v>1832</v>
      </c>
      <c r="I162" s="475">
        <v>0</v>
      </c>
      <c r="J162" s="475">
        <v>17</v>
      </c>
      <c r="K162" s="517">
        <v>0.17</v>
      </c>
      <c r="L162" s="477">
        <v>0</v>
      </c>
      <c r="M162" s="477">
        <v>0</v>
      </c>
      <c r="N162" s="498">
        <v>0</v>
      </c>
      <c r="O162" s="499" t="e">
        <v>#DIV/0!</v>
      </c>
      <c r="P162" s="309"/>
      <c r="Y162" s="168"/>
    </row>
    <row r="163" ht="16.5" customHeight="1" outlineLevel="3" spans="2:25">
      <c r="B163" s="470" t="s">
        <v>1851</v>
      </c>
      <c r="C163" s="473" t="s">
        <v>622</v>
      </c>
      <c r="D163" s="526" t="s">
        <v>1852</v>
      </c>
      <c r="E163" s="290" t="s">
        <v>261</v>
      </c>
      <c r="F163" s="290"/>
      <c r="G163" s="292"/>
      <c r="H163" s="292"/>
      <c r="I163" s="475"/>
      <c r="J163" s="475">
        <v>0</v>
      </c>
      <c r="K163" s="517">
        <v>0.11</v>
      </c>
      <c r="L163" s="477">
        <v>0</v>
      </c>
      <c r="M163" s="477">
        <v>0</v>
      </c>
      <c r="N163" s="498">
        <v>0</v>
      </c>
      <c r="O163" s="499" t="e">
        <v>#DIV/0!</v>
      </c>
      <c r="P163" s="309"/>
      <c r="Y163" s="168"/>
    </row>
    <row r="164" ht="16.5" customHeight="1" outlineLevel="3" spans="2:25">
      <c r="B164" s="470" t="s">
        <v>1853</v>
      </c>
      <c r="C164" s="473" t="s">
        <v>622</v>
      </c>
      <c r="D164" s="526" t="s">
        <v>1854</v>
      </c>
      <c r="E164" s="479"/>
      <c r="F164" s="479"/>
      <c r="G164" s="108"/>
      <c r="H164" s="292"/>
      <c r="I164" s="475"/>
      <c r="J164" s="475">
        <v>0</v>
      </c>
      <c r="K164" s="517">
        <v>0.17</v>
      </c>
      <c r="L164" s="477">
        <v>0</v>
      </c>
      <c r="M164" s="477">
        <v>0</v>
      </c>
      <c r="N164" s="498">
        <v>0</v>
      </c>
      <c r="O164" s="499" t="e">
        <v>#DIV/0!</v>
      </c>
      <c r="P164" s="523"/>
      <c r="Y164" s="168"/>
    </row>
    <row r="165" ht="16.5" customHeight="1" outlineLevel="2" spans="2:25">
      <c r="B165" s="470" t="s">
        <v>1855</v>
      </c>
      <c r="C165" s="471" t="s">
        <v>762</v>
      </c>
      <c r="D165" s="508" t="s">
        <v>1856</v>
      </c>
      <c r="E165" s="290"/>
      <c r="F165" s="290"/>
      <c r="G165" s="292"/>
      <c r="H165" s="292"/>
      <c r="I165" s="475"/>
      <c r="J165" s="475">
        <v>0</v>
      </c>
      <c r="K165" s="517">
        <v>0.11</v>
      </c>
      <c r="L165" s="477">
        <v>0</v>
      </c>
      <c r="M165" s="477">
        <v>0</v>
      </c>
      <c r="N165" s="498">
        <v>0</v>
      </c>
      <c r="O165" s="499" t="e">
        <v>#DIV/0!</v>
      </c>
      <c r="P165" s="309"/>
      <c r="Y165" s="168"/>
    </row>
    <row r="166" ht="16.5" customHeight="1" outlineLevel="2" spans="2:25">
      <c r="B166" s="470" t="s">
        <v>1857</v>
      </c>
      <c r="C166" s="471" t="s">
        <v>778</v>
      </c>
      <c r="D166" s="508" t="s">
        <v>1858</v>
      </c>
      <c r="E166" s="290" t="s">
        <v>1363</v>
      </c>
      <c r="F166" s="290" t="s">
        <v>602</v>
      </c>
      <c r="G166" s="292">
        <v>110</v>
      </c>
      <c r="H166" s="503" t="s">
        <v>1832</v>
      </c>
      <c r="I166" s="475">
        <v>0</v>
      </c>
      <c r="J166" s="475"/>
      <c r="K166" s="517">
        <v>0.11</v>
      </c>
      <c r="L166" s="477">
        <v>0</v>
      </c>
      <c r="M166" s="477">
        <v>0</v>
      </c>
      <c r="N166" s="498">
        <v>0</v>
      </c>
      <c r="O166" s="499" t="e">
        <v>#DIV/0!</v>
      </c>
      <c r="P166" s="309"/>
      <c r="Y166" s="168"/>
    </row>
    <row r="167" ht="16.5" customHeight="1" outlineLevel="2" spans="2:25">
      <c r="B167" s="470" t="s">
        <v>1859</v>
      </c>
      <c r="C167" s="471" t="s">
        <v>781</v>
      </c>
      <c r="D167" s="508" t="s">
        <v>1860</v>
      </c>
      <c r="E167" s="479" t="s">
        <v>774</v>
      </c>
      <c r="F167" s="479" t="s">
        <v>1792</v>
      </c>
      <c r="G167" s="525">
        <v>0</v>
      </c>
      <c r="H167" s="503" t="s">
        <v>1861</v>
      </c>
      <c r="I167" s="475">
        <v>7</v>
      </c>
      <c r="J167" s="543">
        <v>1300</v>
      </c>
      <c r="K167" s="517">
        <v>0.11</v>
      </c>
      <c r="L167" s="477">
        <v>0</v>
      </c>
      <c r="M167" s="477">
        <v>0</v>
      </c>
      <c r="N167" s="498">
        <v>0</v>
      </c>
      <c r="O167" s="499" t="e">
        <v>#DIV/0!</v>
      </c>
      <c r="P167" s="309"/>
      <c r="Y167" s="168"/>
    </row>
    <row r="168" ht="16.5" customHeight="1" outlineLevel="2" spans="2:25">
      <c r="B168" s="470" t="s">
        <v>1862</v>
      </c>
      <c r="C168" s="471" t="s">
        <v>788</v>
      </c>
      <c r="D168" s="508" t="s">
        <v>1863</v>
      </c>
      <c r="E168" s="290"/>
      <c r="F168" s="290"/>
      <c r="G168" s="292"/>
      <c r="H168" s="292"/>
      <c r="I168" s="475"/>
      <c r="J168" s="475">
        <v>0</v>
      </c>
      <c r="K168" s="517"/>
      <c r="L168" s="477">
        <v>0</v>
      </c>
      <c r="M168" s="477">
        <v>0</v>
      </c>
      <c r="N168" s="568">
        <v>0</v>
      </c>
      <c r="O168" s="499" t="e">
        <v>#DIV/0!</v>
      </c>
      <c r="P168" s="309"/>
      <c r="Y168" s="168"/>
    </row>
    <row r="169" ht="16.5" customHeight="1" outlineLevel="3" spans="2:25">
      <c r="B169" s="470" t="s">
        <v>1864</v>
      </c>
      <c r="C169" s="473" t="s">
        <v>622</v>
      </c>
      <c r="D169" s="526" t="s">
        <v>1865</v>
      </c>
      <c r="E169" s="290" t="s">
        <v>1363</v>
      </c>
      <c r="F169" s="479" t="s">
        <v>1866</v>
      </c>
      <c r="G169" s="525">
        <v>0</v>
      </c>
      <c r="H169" s="503" t="s">
        <v>1861</v>
      </c>
      <c r="I169" s="475">
        <v>6</v>
      </c>
      <c r="J169" s="475">
        <v>500</v>
      </c>
      <c r="K169" s="517">
        <v>0.11</v>
      </c>
      <c r="L169" s="477">
        <v>0</v>
      </c>
      <c r="M169" s="477">
        <v>0</v>
      </c>
      <c r="N169" s="498">
        <v>0</v>
      </c>
      <c r="O169" s="499" t="e">
        <v>#DIV/0!</v>
      </c>
      <c r="P169" s="523"/>
      <c r="Y169" s="168"/>
    </row>
    <row r="170" ht="16.5" customHeight="1" outlineLevel="3" spans="2:25">
      <c r="B170" s="470" t="s">
        <v>1867</v>
      </c>
      <c r="C170" s="473" t="s">
        <v>622</v>
      </c>
      <c r="D170" s="526" t="s">
        <v>1868</v>
      </c>
      <c r="E170" s="290" t="s">
        <v>1371</v>
      </c>
      <c r="F170" s="479" t="s">
        <v>1866</v>
      </c>
      <c r="G170" s="525">
        <v>0</v>
      </c>
      <c r="H170" s="503" t="s">
        <v>1861</v>
      </c>
      <c r="I170" s="475">
        <v>6</v>
      </c>
      <c r="J170" s="475">
        <v>55</v>
      </c>
      <c r="K170" s="517">
        <v>0.17</v>
      </c>
      <c r="L170" s="477">
        <v>0</v>
      </c>
      <c r="M170" s="477">
        <v>0</v>
      </c>
      <c r="N170" s="498">
        <v>0</v>
      </c>
      <c r="O170" s="499" t="e">
        <v>#DIV/0!</v>
      </c>
      <c r="P170" s="523"/>
      <c r="Y170" s="168"/>
    </row>
    <row r="171" ht="16.5" customHeight="1" outlineLevel="3" spans="2:25">
      <c r="B171" s="470" t="s">
        <v>1869</v>
      </c>
      <c r="C171" s="473" t="s">
        <v>622</v>
      </c>
      <c r="D171" s="526" t="s">
        <v>1870</v>
      </c>
      <c r="E171" s="290" t="s">
        <v>1373</v>
      </c>
      <c r="F171" s="479" t="s">
        <v>1866</v>
      </c>
      <c r="G171" s="525">
        <v>0</v>
      </c>
      <c r="H171" s="503" t="s">
        <v>1861</v>
      </c>
      <c r="I171" s="475">
        <v>6</v>
      </c>
      <c r="J171" s="475">
        <v>25</v>
      </c>
      <c r="K171" s="517">
        <v>0.17</v>
      </c>
      <c r="L171" s="477">
        <v>0</v>
      </c>
      <c r="M171" s="477">
        <v>0</v>
      </c>
      <c r="N171" s="498">
        <v>0</v>
      </c>
      <c r="O171" s="499" t="e">
        <v>#DIV/0!</v>
      </c>
      <c r="P171" s="523"/>
      <c r="Y171" s="168"/>
    </row>
    <row r="172" ht="16.5" customHeight="1" outlineLevel="3" spans="2:25">
      <c r="B172" s="470" t="s">
        <v>1871</v>
      </c>
      <c r="C172" s="473" t="s">
        <v>622</v>
      </c>
      <c r="D172" s="526" t="s">
        <v>1872</v>
      </c>
      <c r="E172" s="290" t="s">
        <v>1372</v>
      </c>
      <c r="F172" s="65"/>
      <c r="G172" s="525">
        <v>0</v>
      </c>
      <c r="H172" s="503" t="s">
        <v>1861</v>
      </c>
      <c r="I172" s="475">
        <v>6</v>
      </c>
      <c r="J172" s="475"/>
      <c r="K172" s="517">
        <v>0.17</v>
      </c>
      <c r="L172" s="477">
        <v>0</v>
      </c>
      <c r="M172" s="477">
        <v>0</v>
      </c>
      <c r="N172" s="498">
        <v>0</v>
      </c>
      <c r="O172" s="499" t="e">
        <v>#DIV/0!</v>
      </c>
      <c r="P172" s="523"/>
      <c r="Y172" s="168"/>
    </row>
    <row r="173" ht="16.5" customHeight="1" outlineLevel="2" spans="2:25">
      <c r="B173" s="470" t="s">
        <v>1873</v>
      </c>
      <c r="C173" s="471" t="s">
        <v>791</v>
      </c>
      <c r="D173" s="508" t="s">
        <v>1874</v>
      </c>
      <c r="E173" s="290"/>
      <c r="F173" s="290"/>
      <c r="G173" s="292"/>
      <c r="H173" s="292"/>
      <c r="I173" s="475"/>
      <c r="J173" s="475">
        <v>0</v>
      </c>
      <c r="K173" s="517">
        <v>0.11</v>
      </c>
      <c r="L173" s="477">
        <v>0</v>
      </c>
      <c r="M173" s="477">
        <v>0</v>
      </c>
      <c r="N173" s="498">
        <v>0</v>
      </c>
      <c r="O173" s="499" t="e">
        <v>#DIV/0!</v>
      </c>
      <c r="P173" s="309"/>
      <c r="Y173" s="168"/>
    </row>
    <row r="174" ht="16.5" customHeight="1" outlineLevel="2" spans="2:25">
      <c r="B174" s="470" t="s">
        <v>1875</v>
      </c>
      <c r="C174" s="471" t="s">
        <v>794</v>
      </c>
      <c r="D174" s="508" t="s">
        <v>1876</v>
      </c>
      <c r="E174" s="290"/>
      <c r="F174" s="290"/>
      <c r="G174" s="292"/>
      <c r="H174" s="292"/>
      <c r="I174" s="475"/>
      <c r="J174" s="475">
        <v>0</v>
      </c>
      <c r="K174" s="517">
        <v>0.11</v>
      </c>
      <c r="L174" s="477">
        <v>0</v>
      </c>
      <c r="M174" s="477">
        <v>0</v>
      </c>
      <c r="N174" s="498">
        <v>0</v>
      </c>
      <c r="O174" s="499" t="e">
        <v>#DIV/0!</v>
      </c>
      <c r="P174" s="309"/>
      <c r="Y174" s="168"/>
    </row>
    <row r="175" ht="16.5" customHeight="1" outlineLevel="2" spans="2:25">
      <c r="B175" s="470" t="s">
        <v>1877</v>
      </c>
      <c r="C175" s="471" t="s">
        <v>797</v>
      </c>
      <c r="D175" s="508" t="s">
        <v>1878</v>
      </c>
      <c r="E175" s="290"/>
      <c r="F175" s="290"/>
      <c r="G175" s="292"/>
      <c r="H175" s="292"/>
      <c r="I175" s="475"/>
      <c r="J175" s="475">
        <v>0</v>
      </c>
      <c r="K175" s="517">
        <v>0.11</v>
      </c>
      <c r="L175" s="477">
        <v>0</v>
      </c>
      <c r="M175" s="477">
        <v>0</v>
      </c>
      <c r="N175" s="498">
        <v>0</v>
      </c>
      <c r="O175" s="499" t="e">
        <v>#DIV/0!</v>
      </c>
      <c r="P175" s="309"/>
      <c r="Y175" s="168"/>
    </row>
    <row r="176" ht="16.5" customHeight="1" outlineLevel="2" spans="2:25">
      <c r="B176" s="470" t="s">
        <v>1879</v>
      </c>
      <c r="C176" s="471" t="s">
        <v>1519</v>
      </c>
      <c r="D176" s="508" t="s">
        <v>1880</v>
      </c>
      <c r="E176" s="290"/>
      <c r="F176" s="290"/>
      <c r="G176" s="292"/>
      <c r="H176" s="292"/>
      <c r="I176" s="475"/>
      <c r="J176" s="475">
        <v>0</v>
      </c>
      <c r="K176" s="517">
        <v>0.17</v>
      </c>
      <c r="L176" s="477">
        <v>0</v>
      </c>
      <c r="M176" s="477">
        <v>0</v>
      </c>
      <c r="N176" s="498">
        <v>0</v>
      </c>
      <c r="O176" s="499" t="e">
        <v>#DIV/0!</v>
      </c>
      <c r="P176" s="309"/>
      <c r="Y176" s="168"/>
    </row>
    <row r="177" s="456" customFormat="1" ht="16.5" customHeight="1" outlineLevel="1" spans="2:16">
      <c r="B177" s="529" t="s">
        <v>553</v>
      </c>
      <c r="C177" s="530">
        <v>3</v>
      </c>
      <c r="D177" s="529" t="s">
        <v>554</v>
      </c>
      <c r="E177" s="530"/>
      <c r="F177" s="530"/>
      <c r="G177" s="530"/>
      <c r="H177" s="531"/>
      <c r="I177" s="533"/>
      <c r="J177" s="533"/>
      <c r="K177" s="534"/>
      <c r="L177" s="531">
        <v>0</v>
      </c>
      <c r="M177" s="531">
        <v>0</v>
      </c>
      <c r="N177" s="531">
        <v>0</v>
      </c>
      <c r="O177" s="535" t="e">
        <v>#DIV/0!</v>
      </c>
      <c r="P177" s="536"/>
    </row>
    <row r="178" ht="16.5" customHeight="1" outlineLevel="2" spans="2:25">
      <c r="B178" s="470" t="s">
        <v>1881</v>
      </c>
      <c r="C178" s="471" t="s">
        <v>619</v>
      </c>
      <c r="D178" s="508" t="s">
        <v>1882</v>
      </c>
      <c r="E178" s="479"/>
      <c r="F178" s="479"/>
      <c r="G178" s="292"/>
      <c r="H178" s="292"/>
      <c r="I178" s="475"/>
      <c r="J178" s="475">
        <v>0</v>
      </c>
      <c r="K178" s="517"/>
      <c r="L178" s="301">
        <v>0</v>
      </c>
      <c r="M178" s="301">
        <v>0</v>
      </c>
      <c r="N178" s="301">
        <v>0</v>
      </c>
      <c r="O178" s="499" t="e">
        <v>#DIV/0!</v>
      </c>
      <c r="P178" s="309"/>
      <c r="Y178" s="168"/>
    </row>
    <row r="179" ht="16.5" customHeight="1" outlineLevel="3" spans="2:25">
      <c r="B179" s="470" t="s">
        <v>1883</v>
      </c>
      <c r="C179" s="473" t="s">
        <v>622</v>
      </c>
      <c r="D179" s="508" t="s">
        <v>1884</v>
      </c>
      <c r="E179" s="479" t="s">
        <v>993</v>
      </c>
      <c r="F179" s="479" t="s">
        <v>601</v>
      </c>
      <c r="G179" s="292">
        <v>1</v>
      </c>
      <c r="H179" s="292" t="s">
        <v>1668</v>
      </c>
      <c r="I179" s="475">
        <v>0</v>
      </c>
      <c r="J179" s="475">
        <v>21</v>
      </c>
      <c r="K179" s="517">
        <v>0.11</v>
      </c>
      <c r="L179" s="477">
        <v>0</v>
      </c>
      <c r="M179" s="477">
        <v>0</v>
      </c>
      <c r="N179" s="498">
        <v>0</v>
      </c>
      <c r="O179" s="499" t="e">
        <v>#DIV/0!</v>
      </c>
      <c r="P179" s="523"/>
      <c r="Y179" s="168"/>
    </row>
    <row r="180" ht="16.5" customHeight="1" outlineLevel="3" spans="2:25">
      <c r="B180" s="470" t="s">
        <v>1885</v>
      </c>
      <c r="C180" s="473" t="s">
        <v>622</v>
      </c>
      <c r="D180" s="508" t="s">
        <v>1886</v>
      </c>
      <c r="E180" s="479" t="s">
        <v>1392</v>
      </c>
      <c r="F180" s="479" t="s">
        <v>601</v>
      </c>
      <c r="G180" s="525">
        <v>1</v>
      </c>
      <c r="H180" s="292" t="s">
        <v>655</v>
      </c>
      <c r="I180" s="475">
        <v>0</v>
      </c>
      <c r="J180" s="475">
        <v>12.61</v>
      </c>
      <c r="K180" s="517">
        <v>0.11</v>
      </c>
      <c r="L180" s="477">
        <v>0</v>
      </c>
      <c r="M180" s="477">
        <v>0</v>
      </c>
      <c r="N180" s="498">
        <v>0</v>
      </c>
      <c r="O180" s="499" t="e">
        <v>#DIV/0!</v>
      </c>
      <c r="P180" s="523"/>
      <c r="Y180" s="168"/>
    </row>
    <row r="181" ht="16.5" customHeight="1" outlineLevel="3" spans="2:25">
      <c r="B181" s="470" t="s">
        <v>1887</v>
      </c>
      <c r="C181" s="473" t="s">
        <v>622</v>
      </c>
      <c r="D181" s="508" t="s">
        <v>1888</v>
      </c>
      <c r="E181" s="479" t="s">
        <v>1393</v>
      </c>
      <c r="F181" s="479" t="s">
        <v>601</v>
      </c>
      <c r="G181" s="525">
        <v>1</v>
      </c>
      <c r="H181" s="292" t="s">
        <v>655</v>
      </c>
      <c r="I181" s="475">
        <v>0</v>
      </c>
      <c r="J181" s="475">
        <v>17.12</v>
      </c>
      <c r="K181" s="517">
        <v>0.11</v>
      </c>
      <c r="L181" s="477">
        <v>0</v>
      </c>
      <c r="M181" s="477">
        <v>0</v>
      </c>
      <c r="N181" s="498">
        <v>0</v>
      </c>
      <c r="O181" s="499" t="e">
        <v>#DIV/0!</v>
      </c>
      <c r="P181" s="309"/>
      <c r="Y181" s="168"/>
    </row>
    <row r="182" ht="16.5" customHeight="1" outlineLevel="3" spans="2:25">
      <c r="B182" s="470" t="s">
        <v>1889</v>
      </c>
      <c r="C182" s="473" t="s">
        <v>622</v>
      </c>
      <c r="D182" s="508" t="s">
        <v>1890</v>
      </c>
      <c r="E182" s="290"/>
      <c r="F182" s="290"/>
      <c r="G182" s="532"/>
      <c r="H182" s="292"/>
      <c r="I182" s="475"/>
      <c r="J182" s="475">
        <v>0</v>
      </c>
      <c r="K182" s="517">
        <v>0.11</v>
      </c>
      <c r="L182" s="477">
        <v>0</v>
      </c>
      <c r="M182" s="477">
        <v>0</v>
      </c>
      <c r="N182" s="498">
        <v>0</v>
      </c>
      <c r="O182" s="499" t="e">
        <v>#DIV/0!</v>
      </c>
      <c r="P182" s="309"/>
      <c r="Y182" s="168"/>
    </row>
    <row r="183" ht="16.5" customHeight="1" outlineLevel="3" spans="2:25">
      <c r="B183" s="470" t="s">
        <v>1891</v>
      </c>
      <c r="C183" s="473" t="s">
        <v>622</v>
      </c>
      <c r="D183" s="508" t="s">
        <v>1892</v>
      </c>
      <c r="E183" s="479" t="s">
        <v>993</v>
      </c>
      <c r="F183" s="479" t="s">
        <v>601</v>
      </c>
      <c r="G183" s="525">
        <v>1</v>
      </c>
      <c r="H183" s="292" t="s">
        <v>1668</v>
      </c>
      <c r="I183" s="475">
        <v>0</v>
      </c>
      <c r="J183" s="475">
        <v>300</v>
      </c>
      <c r="K183" s="517">
        <v>0.11</v>
      </c>
      <c r="L183" s="477">
        <v>0</v>
      </c>
      <c r="M183" s="477">
        <v>0</v>
      </c>
      <c r="N183" s="498">
        <v>0</v>
      </c>
      <c r="O183" s="499" t="e">
        <v>#DIV/0!</v>
      </c>
      <c r="P183" s="309"/>
      <c r="Y183" s="168"/>
    </row>
    <row r="184" ht="16.5" customHeight="1" outlineLevel="3" spans="2:25">
      <c r="B184" s="470" t="s">
        <v>1893</v>
      </c>
      <c r="C184" s="473" t="s">
        <v>622</v>
      </c>
      <c r="D184" s="508" t="s">
        <v>1894</v>
      </c>
      <c r="E184" s="479" t="s">
        <v>1394</v>
      </c>
      <c r="F184" s="479" t="s">
        <v>601</v>
      </c>
      <c r="G184" s="525">
        <v>1</v>
      </c>
      <c r="H184" s="292" t="s">
        <v>1668</v>
      </c>
      <c r="I184" s="475">
        <v>0</v>
      </c>
      <c r="J184" s="475">
        <v>450</v>
      </c>
      <c r="K184" s="517">
        <v>0.17</v>
      </c>
      <c r="L184" s="477">
        <v>0</v>
      </c>
      <c r="M184" s="477">
        <v>0</v>
      </c>
      <c r="N184" s="498">
        <v>0</v>
      </c>
      <c r="O184" s="499" t="e">
        <v>#DIV/0!</v>
      </c>
      <c r="P184" s="309"/>
      <c r="Y184" s="168"/>
    </row>
    <row r="185" ht="16.5" customHeight="1" outlineLevel="3" spans="2:25">
      <c r="B185" s="470" t="s">
        <v>1895</v>
      </c>
      <c r="C185" s="473" t="s">
        <v>622</v>
      </c>
      <c r="D185" s="508" t="s">
        <v>1896</v>
      </c>
      <c r="E185" s="290" t="s">
        <v>1392</v>
      </c>
      <c r="F185" s="290"/>
      <c r="G185" s="532"/>
      <c r="H185" s="292"/>
      <c r="I185" s="475"/>
      <c r="J185" s="475">
        <v>0</v>
      </c>
      <c r="K185" s="517">
        <v>0.11</v>
      </c>
      <c r="L185" s="477">
        <v>0</v>
      </c>
      <c r="M185" s="477">
        <v>0</v>
      </c>
      <c r="N185" s="498">
        <v>0</v>
      </c>
      <c r="O185" s="499" t="e">
        <v>#DIV/0!</v>
      </c>
      <c r="P185" s="309"/>
      <c r="Y185" s="168"/>
    </row>
    <row r="186" ht="16.5" customHeight="1" outlineLevel="3" spans="1:25">
      <c r="A186" s="456"/>
      <c r="B186" s="470" t="s">
        <v>1897</v>
      </c>
      <c r="C186" s="473" t="s">
        <v>622</v>
      </c>
      <c r="D186" s="508" t="s">
        <v>1898</v>
      </c>
      <c r="E186" s="290"/>
      <c r="F186" s="290"/>
      <c r="G186" s="532"/>
      <c r="H186" s="292"/>
      <c r="I186" s="475"/>
      <c r="J186" s="475">
        <v>0</v>
      </c>
      <c r="K186" s="517">
        <v>0.11</v>
      </c>
      <c r="L186" s="477">
        <v>0</v>
      </c>
      <c r="M186" s="477">
        <v>0</v>
      </c>
      <c r="N186" s="498">
        <v>0</v>
      </c>
      <c r="O186" s="499" t="e">
        <v>#DIV/0!</v>
      </c>
      <c r="P186" s="309"/>
      <c r="Y186" s="168"/>
    </row>
    <row r="187" s="457" customFormat="1" ht="16.5" customHeight="1" outlineLevel="2" spans="1:16">
      <c r="A187" s="456"/>
      <c r="B187" s="470" t="s">
        <v>1899</v>
      </c>
      <c r="C187" s="471" t="s">
        <v>657</v>
      </c>
      <c r="D187" s="508" t="s">
        <v>1900</v>
      </c>
      <c r="E187" s="366"/>
      <c r="F187" s="366"/>
      <c r="G187" s="366"/>
      <c r="H187" s="313"/>
      <c r="I187" s="518"/>
      <c r="J187" s="518">
        <v>0</v>
      </c>
      <c r="K187" s="537">
        <v>0.11</v>
      </c>
      <c r="L187" s="477">
        <v>0</v>
      </c>
      <c r="M187" s="477">
        <v>0</v>
      </c>
      <c r="N187" s="498">
        <v>0</v>
      </c>
      <c r="O187" s="499" t="e">
        <v>#DIV/0!</v>
      </c>
      <c r="P187" s="309"/>
    </row>
    <row r="188" s="457" customFormat="1" ht="16.5" customHeight="1" outlineLevel="2" spans="1:16">
      <c r="A188" s="456"/>
      <c r="B188" s="470" t="s">
        <v>1901</v>
      </c>
      <c r="C188" s="471" t="s">
        <v>762</v>
      </c>
      <c r="D188" s="508" t="s">
        <v>1902</v>
      </c>
      <c r="E188" s="366"/>
      <c r="F188" s="366"/>
      <c r="G188" s="366"/>
      <c r="H188" s="313"/>
      <c r="I188" s="518"/>
      <c r="J188" s="518">
        <v>0</v>
      </c>
      <c r="K188" s="537">
        <v>0.11</v>
      </c>
      <c r="L188" s="477">
        <v>0</v>
      </c>
      <c r="M188" s="477">
        <v>0</v>
      </c>
      <c r="N188" s="498">
        <v>0</v>
      </c>
      <c r="O188" s="499" t="e">
        <v>#DIV/0!</v>
      </c>
      <c r="P188" s="309"/>
    </row>
    <row r="189" ht="16.5" customHeight="1" outlineLevel="1" spans="2:25">
      <c r="B189" s="121" t="s">
        <v>555</v>
      </c>
      <c r="C189" s="121">
        <v>4</v>
      </c>
      <c r="D189" s="121" t="s">
        <v>556</v>
      </c>
      <c r="E189" s="193"/>
      <c r="F189" s="193"/>
      <c r="G189" s="193"/>
      <c r="H189" s="155"/>
      <c r="I189" s="492"/>
      <c r="J189" s="492"/>
      <c r="K189" s="521"/>
      <c r="L189" s="155">
        <v>0</v>
      </c>
      <c r="M189" s="155">
        <v>0</v>
      </c>
      <c r="N189" s="155">
        <v>0</v>
      </c>
      <c r="O189" s="495" t="e">
        <v>#DIV/0!</v>
      </c>
      <c r="P189" s="233"/>
      <c r="Y189" s="168"/>
    </row>
    <row r="190" ht="16.5" customHeight="1" outlineLevel="2" spans="2:25">
      <c r="B190" s="470" t="s">
        <v>1903</v>
      </c>
      <c r="C190" s="471" t="s">
        <v>619</v>
      </c>
      <c r="D190" s="508" t="s">
        <v>1904</v>
      </c>
      <c r="E190" s="479" t="s">
        <v>1396</v>
      </c>
      <c r="F190" s="479" t="s">
        <v>601</v>
      </c>
      <c r="G190" s="525">
        <v>1</v>
      </c>
      <c r="H190" s="292" t="s">
        <v>1681</v>
      </c>
      <c r="I190" s="475">
        <v>0</v>
      </c>
      <c r="J190" s="475">
        <v>1350</v>
      </c>
      <c r="K190" s="517">
        <v>0.11</v>
      </c>
      <c r="L190" s="477">
        <v>0</v>
      </c>
      <c r="M190" s="477">
        <v>0</v>
      </c>
      <c r="N190" s="498">
        <v>0</v>
      </c>
      <c r="O190" s="499" t="e">
        <v>#DIV/0!</v>
      </c>
      <c r="P190" s="309"/>
      <c r="Y190" s="168"/>
    </row>
    <row r="191" ht="16.5" customHeight="1" outlineLevel="2" spans="2:25">
      <c r="B191" s="470" t="s">
        <v>1905</v>
      </c>
      <c r="C191" s="471" t="s">
        <v>657</v>
      </c>
      <c r="D191" s="508" t="s">
        <v>1906</v>
      </c>
      <c r="E191" s="290"/>
      <c r="F191" s="290"/>
      <c r="G191" s="365">
        <v>1</v>
      </c>
      <c r="H191" s="292" t="s">
        <v>995</v>
      </c>
      <c r="I191" s="475">
        <v>0</v>
      </c>
      <c r="J191" s="475">
        <v>3240</v>
      </c>
      <c r="K191" s="517">
        <v>0.11</v>
      </c>
      <c r="L191" s="477">
        <v>0</v>
      </c>
      <c r="M191" s="477">
        <v>0</v>
      </c>
      <c r="N191" s="498">
        <v>0</v>
      </c>
      <c r="O191" s="499" t="e">
        <v>#DIV/0!</v>
      </c>
      <c r="P191" s="309"/>
      <c r="Y191" s="168"/>
    </row>
    <row r="192" ht="16.5" customHeight="1" outlineLevel="2" spans="2:25">
      <c r="B192" s="470" t="s">
        <v>1907</v>
      </c>
      <c r="C192" s="471" t="s">
        <v>762</v>
      </c>
      <c r="D192" s="508" t="s">
        <v>1908</v>
      </c>
      <c r="E192" s="290"/>
      <c r="F192" s="290"/>
      <c r="G192" s="292"/>
      <c r="H192" s="292"/>
      <c r="I192" s="475"/>
      <c r="J192" s="475">
        <v>0</v>
      </c>
      <c r="K192" s="517">
        <v>0.11</v>
      </c>
      <c r="L192" s="477">
        <v>0</v>
      </c>
      <c r="M192" s="477">
        <v>0</v>
      </c>
      <c r="N192" s="498">
        <v>0</v>
      </c>
      <c r="O192" s="499" t="e">
        <v>#DIV/0!</v>
      </c>
      <c r="P192" s="309"/>
      <c r="Y192" s="168"/>
    </row>
    <row r="193" ht="16.5" customHeight="1" outlineLevel="2" spans="2:25">
      <c r="B193" s="470" t="s">
        <v>1909</v>
      </c>
      <c r="C193" s="471" t="s">
        <v>778</v>
      </c>
      <c r="D193" s="508" t="s">
        <v>1910</v>
      </c>
      <c r="E193" s="290"/>
      <c r="F193" s="290"/>
      <c r="G193" s="292"/>
      <c r="H193" s="292"/>
      <c r="I193" s="475"/>
      <c r="J193" s="475">
        <v>0</v>
      </c>
      <c r="K193" s="517">
        <v>0.11</v>
      </c>
      <c r="L193" s="477">
        <v>0</v>
      </c>
      <c r="M193" s="477">
        <v>0</v>
      </c>
      <c r="N193" s="498">
        <v>0</v>
      </c>
      <c r="O193" s="499" t="e">
        <v>#DIV/0!</v>
      </c>
      <c r="P193" s="309"/>
      <c r="Y193" s="168"/>
    </row>
    <row r="194" ht="16.5" customHeight="1" outlineLevel="2" spans="2:25">
      <c r="B194" s="470" t="s">
        <v>1911</v>
      </c>
      <c r="C194" s="471" t="s">
        <v>781</v>
      </c>
      <c r="D194" s="508" t="s">
        <v>1912</v>
      </c>
      <c r="E194" s="290" t="s">
        <v>1395</v>
      </c>
      <c r="F194" s="290"/>
      <c r="G194" s="292"/>
      <c r="H194" s="292"/>
      <c r="I194" s="475"/>
      <c r="J194" s="475">
        <v>0</v>
      </c>
      <c r="K194" s="517">
        <v>0.11</v>
      </c>
      <c r="L194" s="477">
        <v>0</v>
      </c>
      <c r="M194" s="477">
        <v>0</v>
      </c>
      <c r="N194" s="498">
        <v>0</v>
      </c>
      <c r="O194" s="499" t="e">
        <v>#DIV/0!</v>
      </c>
      <c r="P194" s="309"/>
      <c r="Y194" s="168"/>
    </row>
    <row r="195" ht="16.5" customHeight="1" outlineLevel="2" spans="2:25">
      <c r="B195" s="470" t="s">
        <v>1913</v>
      </c>
      <c r="C195" s="471" t="s">
        <v>788</v>
      </c>
      <c r="D195" s="508" t="s">
        <v>1914</v>
      </c>
      <c r="E195" s="290" t="s">
        <v>1395</v>
      </c>
      <c r="F195" s="290"/>
      <c r="G195" s="292"/>
      <c r="H195" s="292"/>
      <c r="I195" s="475"/>
      <c r="J195" s="475">
        <v>0</v>
      </c>
      <c r="K195" s="517">
        <v>0.11</v>
      </c>
      <c r="L195" s="477">
        <v>0</v>
      </c>
      <c r="M195" s="477">
        <v>0</v>
      </c>
      <c r="N195" s="498">
        <v>0</v>
      </c>
      <c r="O195" s="499" t="e">
        <v>#DIV/0!</v>
      </c>
      <c r="P195" s="309"/>
      <c r="Y195" s="168"/>
    </row>
    <row r="196" ht="16.5" customHeight="1" outlineLevel="2" spans="2:25">
      <c r="B196" s="470" t="s">
        <v>1915</v>
      </c>
      <c r="C196" s="471" t="s">
        <v>791</v>
      </c>
      <c r="D196" s="508" t="s">
        <v>1916</v>
      </c>
      <c r="E196" s="290" t="s">
        <v>1395</v>
      </c>
      <c r="F196" s="290"/>
      <c r="G196" s="292"/>
      <c r="H196" s="292"/>
      <c r="I196" s="475"/>
      <c r="J196" s="475"/>
      <c r="K196" s="517">
        <v>0.11</v>
      </c>
      <c r="L196" s="477">
        <v>0</v>
      </c>
      <c r="M196" s="477">
        <v>0</v>
      </c>
      <c r="N196" s="498">
        <v>0</v>
      </c>
      <c r="O196" s="499" t="e">
        <v>#DIV/0!</v>
      </c>
      <c r="P196" s="309"/>
      <c r="Y196" s="168"/>
    </row>
    <row r="197" ht="16.5" customHeight="1" outlineLevel="2" spans="2:25">
      <c r="B197" s="470" t="s">
        <v>1917</v>
      </c>
      <c r="C197" s="471" t="s">
        <v>794</v>
      </c>
      <c r="D197" s="508" t="s">
        <v>1700</v>
      </c>
      <c r="E197" s="290" t="s">
        <v>1395</v>
      </c>
      <c r="F197" s="290"/>
      <c r="G197" s="292"/>
      <c r="H197" s="292"/>
      <c r="I197" s="475"/>
      <c r="J197" s="475">
        <v>0</v>
      </c>
      <c r="K197" s="517">
        <v>0.11</v>
      </c>
      <c r="L197" s="477">
        <v>0</v>
      </c>
      <c r="M197" s="477">
        <v>0</v>
      </c>
      <c r="N197" s="498">
        <v>0</v>
      </c>
      <c r="O197" s="499" t="e">
        <v>#DIV/0!</v>
      </c>
      <c r="P197" s="309"/>
      <c r="Y197" s="168"/>
    </row>
    <row r="198" ht="16.5" customHeight="1" outlineLevel="2" spans="2:25">
      <c r="B198" s="470" t="s">
        <v>1918</v>
      </c>
      <c r="C198" s="471" t="s">
        <v>797</v>
      </c>
      <c r="D198" s="508" t="s">
        <v>1919</v>
      </c>
      <c r="E198" s="290" t="s">
        <v>1395</v>
      </c>
      <c r="F198" s="290"/>
      <c r="G198" s="292"/>
      <c r="H198" s="292"/>
      <c r="I198" s="475"/>
      <c r="J198" s="475">
        <v>0</v>
      </c>
      <c r="K198" s="517">
        <v>0.11</v>
      </c>
      <c r="L198" s="477">
        <v>0</v>
      </c>
      <c r="M198" s="477">
        <v>0</v>
      </c>
      <c r="N198" s="498">
        <v>0</v>
      </c>
      <c r="O198" s="499" t="e">
        <v>#DIV/0!</v>
      </c>
      <c r="P198" s="309"/>
      <c r="Y198" s="168"/>
    </row>
    <row r="199" ht="16.5" customHeight="1" outlineLevel="2" spans="2:25">
      <c r="B199" s="470" t="s">
        <v>1920</v>
      </c>
      <c r="C199" s="471" t="s">
        <v>1519</v>
      </c>
      <c r="D199" s="508" t="s">
        <v>1921</v>
      </c>
      <c r="E199" s="290" t="s">
        <v>1395</v>
      </c>
      <c r="F199" s="290"/>
      <c r="G199" s="292">
        <v>1</v>
      </c>
      <c r="H199" s="292" t="s">
        <v>827</v>
      </c>
      <c r="I199" s="475">
        <v>0</v>
      </c>
      <c r="J199" s="475">
        <v>1700</v>
      </c>
      <c r="K199" s="517">
        <v>0.11</v>
      </c>
      <c r="L199" s="477">
        <v>0</v>
      </c>
      <c r="M199" s="477">
        <v>0</v>
      </c>
      <c r="N199" s="498">
        <v>0</v>
      </c>
      <c r="O199" s="499" t="e">
        <v>#DIV/0!</v>
      </c>
      <c r="P199" s="309"/>
      <c r="Y199" s="168"/>
    </row>
    <row r="200" ht="16.5" customHeight="1" outlineLevel="2" spans="2:25">
      <c r="B200" s="470" t="s">
        <v>1922</v>
      </c>
      <c r="C200" s="471" t="s">
        <v>1520</v>
      </c>
      <c r="D200" s="508" t="s">
        <v>1923</v>
      </c>
      <c r="E200" s="290"/>
      <c r="F200" s="290"/>
      <c r="G200" s="292"/>
      <c r="H200" s="292"/>
      <c r="I200" s="475"/>
      <c r="J200" s="475">
        <v>0</v>
      </c>
      <c r="K200" s="517">
        <v>0.11</v>
      </c>
      <c r="L200" s="477">
        <v>0</v>
      </c>
      <c r="M200" s="477">
        <v>0</v>
      </c>
      <c r="N200" s="498">
        <v>0</v>
      </c>
      <c r="O200" s="499" t="e">
        <v>#DIV/0!</v>
      </c>
      <c r="P200" s="309"/>
      <c r="Y200" s="168"/>
    </row>
    <row r="201" collapsed="1" spans="3:25">
      <c r="C201" s="168"/>
      <c r="G201" s="168"/>
      <c r="H201" s="168"/>
      <c r="I201" s="168"/>
      <c r="J201" s="168"/>
      <c r="K201" s="168"/>
      <c r="M201" s="166" t="s">
        <v>2</v>
      </c>
      <c r="N201" s="459">
        <v>0</v>
      </c>
      <c r="Y201" s="168"/>
    </row>
    <row r="202" spans="3:25">
      <c r="C202" s="168"/>
      <c r="G202" s="168"/>
      <c r="H202" s="168"/>
      <c r="I202" s="168"/>
      <c r="J202" s="168"/>
      <c r="K202" s="168"/>
      <c r="L202" s="538"/>
      <c r="M202" s="538"/>
      <c r="N202" s="564"/>
      <c r="X202" s="540">
        <v>0</v>
      </c>
      <c r="Y202" s="168"/>
    </row>
  </sheetData>
  <autoFilter ref="A3:Y202"/>
  <conditionalFormatting sqref="B4:C4">
    <cfRule type="duplicateValues" dxfId="247" priority="115"/>
  </conditionalFormatting>
  <conditionalFormatting sqref="B5:C5">
    <cfRule type="duplicateValues" dxfId="248" priority="114"/>
  </conditionalFormatting>
  <conditionalFormatting sqref="D6">
    <cfRule type="duplicateValues" dxfId="249" priority="119"/>
  </conditionalFormatting>
  <conditionalFormatting sqref="I6">
    <cfRule type="cellIs" dxfId="250" priority="66" operator="equal">
      <formula>0</formula>
    </cfRule>
    <cfRule type="cellIs" priority="65" operator="equal">
      <formula>0</formula>
    </cfRule>
  </conditionalFormatting>
  <conditionalFormatting sqref="I10">
    <cfRule type="cellIs" dxfId="251" priority="64" operator="equal">
      <formula>0</formula>
    </cfRule>
    <cfRule type="cellIs" priority="63" operator="equal">
      <formula>0</formula>
    </cfRule>
  </conditionalFormatting>
  <conditionalFormatting sqref="D21">
    <cfRule type="duplicateValues" dxfId="252" priority="51"/>
  </conditionalFormatting>
  <conditionalFormatting sqref="I21">
    <cfRule type="cellIs" dxfId="253" priority="48" operator="equal">
      <formula>0</formula>
    </cfRule>
    <cfRule type="cellIs" priority="47" operator="equal">
      <formula>0</formula>
    </cfRule>
  </conditionalFormatting>
  <conditionalFormatting sqref="K21">
    <cfRule type="cellIs" dxfId="254" priority="50" operator="equal">
      <formula>0</formula>
    </cfRule>
    <cfRule type="cellIs" priority="49" operator="equal">
      <formula>0</formula>
    </cfRule>
  </conditionalFormatting>
  <conditionalFormatting sqref="D22">
    <cfRule type="duplicateValues" dxfId="255" priority="56"/>
  </conditionalFormatting>
  <conditionalFormatting sqref="I22">
    <cfRule type="cellIs" dxfId="256" priority="53" operator="equal">
      <formula>0</formula>
    </cfRule>
    <cfRule type="cellIs" priority="52" operator="equal">
      <formula>0</formula>
    </cfRule>
  </conditionalFormatting>
  <conditionalFormatting sqref="K22">
    <cfRule type="cellIs" dxfId="257" priority="55" operator="equal">
      <formula>0</formula>
    </cfRule>
    <cfRule type="cellIs" priority="54" operator="equal">
      <formula>0</formula>
    </cfRule>
  </conditionalFormatting>
  <conditionalFormatting sqref="I43">
    <cfRule type="cellIs" dxfId="258" priority="112" operator="equal">
      <formula>0</formula>
    </cfRule>
    <cfRule type="cellIs" priority="111" operator="equal">
      <formula>0</formula>
    </cfRule>
  </conditionalFormatting>
  <conditionalFormatting sqref="I49">
    <cfRule type="cellIs" dxfId="259" priority="110" operator="equal">
      <formula>0</formula>
    </cfRule>
    <cfRule type="cellIs" priority="109" operator="equal">
      <formula>0</formula>
    </cfRule>
  </conditionalFormatting>
  <conditionalFormatting sqref="K51">
    <cfRule type="cellIs" dxfId="260" priority="4" operator="equal">
      <formula>0</formula>
    </cfRule>
    <cfRule type="cellIs" priority="3" operator="equal">
      <formula>0</formula>
    </cfRule>
  </conditionalFormatting>
  <conditionalFormatting sqref="I52">
    <cfRule type="cellIs" dxfId="261" priority="108" operator="equal">
      <formula>0</formula>
    </cfRule>
    <cfRule type="cellIs" priority="107" operator="equal">
      <formula>0</formula>
    </cfRule>
  </conditionalFormatting>
  <conditionalFormatting sqref="I56">
    <cfRule type="cellIs" dxfId="262" priority="106" operator="equal">
      <formula>0</formula>
    </cfRule>
    <cfRule type="cellIs" priority="105" operator="equal">
      <formula>0</formula>
    </cfRule>
  </conditionalFormatting>
  <conditionalFormatting sqref="I58">
    <cfRule type="cellIs" dxfId="263" priority="82" operator="equal">
      <formula>0</formula>
    </cfRule>
    <cfRule type="cellIs" priority="81" operator="equal">
      <formula>0</formula>
    </cfRule>
  </conditionalFormatting>
  <conditionalFormatting sqref="I61">
    <cfRule type="cellIs" dxfId="264" priority="102" operator="equal">
      <formula>0</formula>
    </cfRule>
    <cfRule type="cellIs" priority="101" operator="equal">
      <formula>0</formula>
    </cfRule>
  </conditionalFormatting>
  <conditionalFormatting sqref="I62">
    <cfRule type="cellIs" dxfId="265" priority="80" operator="equal">
      <formula>0</formula>
    </cfRule>
    <cfRule type="cellIs" priority="79" operator="equal">
      <formula>0</formula>
    </cfRule>
  </conditionalFormatting>
  <conditionalFormatting sqref="I63">
    <cfRule type="cellIs" dxfId="266" priority="78" operator="equal">
      <formula>0</formula>
    </cfRule>
    <cfRule type="cellIs" priority="77" operator="equal">
      <formula>0</formula>
    </cfRule>
  </conditionalFormatting>
  <conditionalFormatting sqref="B64:C64">
    <cfRule type="duplicateValues" dxfId="267" priority="113"/>
  </conditionalFormatting>
  <conditionalFormatting sqref="I66">
    <cfRule type="cellIs" dxfId="268" priority="76" operator="equal">
      <formula>0</formula>
    </cfRule>
    <cfRule type="cellIs" priority="75" operator="equal">
      <formula>0</formula>
    </cfRule>
  </conditionalFormatting>
  <conditionalFormatting sqref="I74">
    <cfRule type="cellIs" dxfId="269" priority="74" operator="equal">
      <formula>0</formula>
    </cfRule>
    <cfRule type="cellIs" priority="73" operator="equal">
      <formula>0</formula>
    </cfRule>
  </conditionalFormatting>
  <conditionalFormatting sqref="I79">
    <cfRule type="cellIs" dxfId="270" priority="72" operator="equal">
      <formula>0</formula>
    </cfRule>
    <cfRule type="cellIs" priority="71" operator="equal">
      <formula>0</formula>
    </cfRule>
  </conditionalFormatting>
  <conditionalFormatting sqref="I84">
    <cfRule type="cellIs" dxfId="271" priority="100" operator="equal">
      <formula>0</formula>
    </cfRule>
    <cfRule type="cellIs" priority="99" operator="equal">
      <formula>0</formula>
    </cfRule>
  </conditionalFormatting>
  <conditionalFormatting sqref="I85">
    <cfRule type="cellIs" dxfId="272" priority="70" operator="equal">
      <formula>0</formula>
    </cfRule>
    <cfRule type="cellIs" priority="69" operator="equal">
      <formula>0</formula>
    </cfRule>
  </conditionalFormatting>
  <conditionalFormatting sqref="I86">
    <cfRule type="cellIs" dxfId="273" priority="68" operator="equal">
      <formula>0</formula>
    </cfRule>
    <cfRule type="cellIs" priority="67" operator="equal">
      <formula>0</formula>
    </cfRule>
  </conditionalFormatting>
  <conditionalFormatting sqref="B90:C90">
    <cfRule type="duplicateValues" dxfId="274" priority="215"/>
  </conditionalFormatting>
  <conditionalFormatting sqref="B91:C91">
    <cfRule type="duplicateValues" dxfId="275" priority="214"/>
  </conditionalFormatting>
  <conditionalFormatting sqref="J92">
    <cfRule type="cellIs" dxfId="276" priority="36" operator="equal">
      <formula>0</formula>
    </cfRule>
    <cfRule type="cellIs" priority="35" operator="equal">
      <formula>0</formula>
    </cfRule>
  </conditionalFormatting>
  <conditionalFormatting sqref="M92">
    <cfRule type="cellIs" dxfId="277" priority="204" operator="equal">
      <formula>0</formula>
    </cfRule>
    <cfRule type="cellIs" priority="203" operator="equal">
      <formula>0</formula>
    </cfRule>
  </conditionalFormatting>
  <conditionalFormatting sqref="J93">
    <cfRule type="cellIs" dxfId="278" priority="34" operator="equal">
      <formula>0</formula>
    </cfRule>
    <cfRule type="cellIs" priority="33" operator="equal">
      <formula>0</formula>
    </cfRule>
  </conditionalFormatting>
  <conditionalFormatting sqref="J94">
    <cfRule type="cellIs" dxfId="279" priority="32" operator="equal">
      <formula>0</formula>
    </cfRule>
    <cfRule type="cellIs" priority="31" operator="equal">
      <formula>0</formula>
    </cfRule>
  </conditionalFormatting>
  <conditionalFormatting sqref="J95">
    <cfRule type="cellIs" dxfId="280" priority="6" operator="equal">
      <formula>0</formula>
    </cfRule>
    <cfRule type="cellIs" priority="5" operator="equal">
      <formula>0</formula>
    </cfRule>
  </conditionalFormatting>
  <conditionalFormatting sqref="J96">
    <cfRule type="cellIs" dxfId="281" priority="30" operator="equal">
      <formula>0</formula>
    </cfRule>
    <cfRule type="cellIs" priority="29" operator="equal">
      <formula>0</formula>
    </cfRule>
  </conditionalFormatting>
  <conditionalFormatting sqref="J98">
    <cfRule type="cellIs" dxfId="282" priority="28" operator="equal">
      <formula>0</formula>
    </cfRule>
    <cfRule type="cellIs" priority="27" operator="equal">
      <formula>0</formula>
    </cfRule>
  </conditionalFormatting>
  <conditionalFormatting sqref="J99">
    <cfRule type="cellIs" dxfId="283" priority="26" operator="equal">
      <formula>0</formula>
    </cfRule>
    <cfRule type="cellIs" priority="25" operator="equal">
      <formula>0</formula>
    </cfRule>
  </conditionalFormatting>
  <conditionalFormatting sqref="J100">
    <cfRule type="cellIs" dxfId="284" priority="14" operator="equal">
      <formula>0</formula>
    </cfRule>
    <cfRule type="cellIs" priority="13" operator="equal">
      <formula>0</formula>
    </cfRule>
  </conditionalFormatting>
  <conditionalFormatting sqref="J101">
    <cfRule type="cellIs" dxfId="285" priority="20" operator="equal">
      <formula>0</formula>
    </cfRule>
    <cfRule type="cellIs" priority="19" operator="equal">
      <formula>0</formula>
    </cfRule>
  </conditionalFormatting>
  <conditionalFormatting sqref="J102">
    <cfRule type="cellIs" dxfId="286" priority="24" operator="equal">
      <formula>0</formula>
    </cfRule>
    <cfRule type="cellIs" priority="23" operator="equal">
      <formula>0</formula>
    </cfRule>
  </conditionalFormatting>
  <conditionalFormatting sqref="J103">
    <cfRule type="cellIs" dxfId="287" priority="18" operator="equal">
      <formula>0</formula>
    </cfRule>
    <cfRule type="cellIs" priority="17" operator="equal">
      <formula>0</formula>
    </cfRule>
  </conditionalFormatting>
  <conditionalFormatting sqref="J104">
    <cfRule type="cellIs" dxfId="288" priority="22" operator="equal">
      <formula>0</formula>
    </cfRule>
    <cfRule type="cellIs" priority="21" operator="equal">
      <formula>0</formula>
    </cfRule>
  </conditionalFormatting>
  <conditionalFormatting sqref="J105">
    <cfRule type="cellIs" dxfId="289" priority="16" operator="equal">
      <formula>0</formula>
    </cfRule>
    <cfRule type="cellIs" priority="15" operator="equal">
      <formula>0</formula>
    </cfRule>
  </conditionalFormatting>
  <conditionalFormatting sqref="E106">
    <cfRule type="duplicateValues" dxfId="290" priority="140"/>
  </conditionalFormatting>
  <conditionalFormatting sqref="E107">
    <cfRule type="duplicateValues" dxfId="291" priority="139"/>
  </conditionalFormatting>
  <conditionalFormatting sqref="B108:C108">
    <cfRule type="duplicateValues" dxfId="292" priority="213"/>
  </conditionalFormatting>
  <conditionalFormatting sqref="E113">
    <cfRule type="duplicateValues" dxfId="293" priority="128"/>
  </conditionalFormatting>
  <conditionalFormatting sqref="I113">
    <cfRule type="cellIs" dxfId="294" priority="8" operator="equal">
      <formula>0</formula>
    </cfRule>
    <cfRule type="cellIs" priority="7" operator="equal">
      <formula>0</formula>
    </cfRule>
  </conditionalFormatting>
  <conditionalFormatting sqref="J113">
    <cfRule type="cellIs" dxfId="295" priority="10" operator="equal">
      <formula>0</formula>
    </cfRule>
    <cfRule type="cellIs" priority="9" operator="equal">
      <formula>0</formula>
    </cfRule>
  </conditionalFormatting>
  <conditionalFormatting sqref="E114">
    <cfRule type="duplicateValues" dxfId="296" priority="129"/>
  </conditionalFormatting>
  <conditionalFormatting sqref="K115">
    <cfRule type="cellIs" dxfId="297" priority="123" operator="equal">
      <formula>0</formula>
    </cfRule>
    <cfRule type="cellIs" priority="122" operator="equal">
      <formula>0</formula>
    </cfRule>
  </conditionalFormatting>
  <conditionalFormatting sqref="B116:C116">
    <cfRule type="duplicateValues" dxfId="298" priority="211"/>
  </conditionalFormatting>
  <conditionalFormatting sqref="B117:C117">
    <cfRule type="duplicateValues" dxfId="299" priority="210"/>
  </conditionalFormatting>
  <conditionalFormatting sqref="I134">
    <cfRule type="cellIs" dxfId="300" priority="202" operator="equal">
      <formula>0</formula>
    </cfRule>
    <cfRule type="cellIs" priority="201" operator="equal">
      <formula>0</formula>
    </cfRule>
  </conditionalFormatting>
  <conditionalFormatting sqref="I136">
    <cfRule type="cellIs" dxfId="301" priority="200" operator="equal">
      <formula>0</formula>
    </cfRule>
    <cfRule type="cellIs" priority="199" operator="equal">
      <formula>0</formula>
    </cfRule>
  </conditionalFormatting>
  <conditionalFormatting sqref="I137">
    <cfRule type="cellIs" dxfId="302" priority="198" operator="equal">
      <formula>0</formula>
    </cfRule>
    <cfRule type="cellIs" priority="197" operator="equal">
      <formula>0</formula>
    </cfRule>
  </conditionalFormatting>
  <conditionalFormatting sqref="I138">
    <cfRule type="cellIs" dxfId="303" priority="196" operator="equal">
      <formula>0</formula>
    </cfRule>
    <cfRule type="cellIs" priority="195" operator="equal">
      <formula>0</formula>
    </cfRule>
  </conditionalFormatting>
  <conditionalFormatting sqref="I142">
    <cfRule type="cellIs" dxfId="304" priority="190" operator="equal">
      <formula>0</formula>
    </cfRule>
    <cfRule type="cellIs" priority="189" operator="equal">
      <formula>0</formula>
    </cfRule>
  </conditionalFormatting>
  <conditionalFormatting sqref="I143">
    <cfRule type="cellIs" dxfId="305" priority="172" operator="equal">
      <formula>0</formula>
    </cfRule>
    <cfRule type="cellIs" priority="171" operator="equal">
      <formula>0</formula>
    </cfRule>
  </conditionalFormatting>
  <conditionalFormatting sqref="K146">
    <cfRule type="cellIs" dxfId="306" priority="2" operator="equal">
      <formula>0</formula>
    </cfRule>
    <cfRule type="cellIs" priority="1" operator="equal">
      <formula>0</formula>
    </cfRule>
  </conditionalFormatting>
  <conditionalFormatting sqref="I148">
    <cfRule type="cellIs" dxfId="307" priority="170" operator="equal">
      <formula>0</formula>
    </cfRule>
    <cfRule type="cellIs" priority="169" operator="equal">
      <formula>0</formula>
    </cfRule>
  </conditionalFormatting>
  <conditionalFormatting sqref="I150">
    <cfRule type="cellIs" dxfId="308" priority="168" operator="equal">
      <formula>0</formula>
    </cfRule>
    <cfRule type="cellIs" priority="167" operator="equal">
      <formula>0</formula>
    </cfRule>
  </conditionalFormatting>
  <conditionalFormatting sqref="B151:C151">
    <cfRule type="duplicateValues" dxfId="309" priority="209"/>
  </conditionalFormatting>
  <conditionalFormatting sqref="D157">
    <cfRule type="duplicateValues" dxfId="310" priority="41"/>
  </conditionalFormatting>
  <conditionalFormatting sqref="I157:K157">
    <cfRule type="cellIs" dxfId="311" priority="40" operator="equal">
      <formula>0</formula>
    </cfRule>
    <cfRule type="cellIs" priority="39" operator="equal">
      <formula>0</formula>
    </cfRule>
  </conditionalFormatting>
  <conditionalFormatting sqref="I166">
    <cfRule type="cellIs" dxfId="312" priority="186" operator="equal">
      <formula>0</formula>
    </cfRule>
    <cfRule type="cellIs" priority="185" operator="equal">
      <formula>0</formula>
    </cfRule>
  </conditionalFormatting>
  <conditionalFormatting sqref="I167">
    <cfRule type="cellIs" dxfId="313" priority="166" operator="equal">
      <formula>0</formula>
    </cfRule>
    <cfRule type="cellIs" priority="165" operator="equal">
      <formula>0</formula>
    </cfRule>
  </conditionalFormatting>
  <conditionalFormatting sqref="B177:C177">
    <cfRule type="duplicateValues" dxfId="314" priority="208"/>
  </conditionalFormatting>
  <conditionalFormatting sqref="I179">
    <cfRule type="cellIs" dxfId="315" priority="207" operator="equal">
      <formula>0</formula>
    </cfRule>
    <cfRule type="cellIs" priority="206" operator="equal">
      <formula>0</formula>
    </cfRule>
  </conditionalFormatting>
  <conditionalFormatting sqref="I180">
    <cfRule type="cellIs" dxfId="316" priority="182" operator="equal">
      <formula>0</formula>
    </cfRule>
    <cfRule type="cellIs" priority="181" operator="equal">
      <formula>0</formula>
    </cfRule>
  </conditionalFormatting>
  <conditionalFormatting sqref="I181">
    <cfRule type="cellIs" dxfId="317" priority="184" operator="equal">
      <formula>0</formula>
    </cfRule>
    <cfRule type="cellIs" priority="183" operator="equal">
      <formula>0</formula>
    </cfRule>
  </conditionalFormatting>
  <conditionalFormatting sqref="B189:C189">
    <cfRule type="duplicateValues" dxfId="318" priority="205"/>
  </conditionalFormatting>
  <conditionalFormatting sqref="I190">
    <cfRule type="cellIs" dxfId="319" priority="161" operator="equal">
      <formula>0</formula>
    </cfRule>
    <cfRule type="cellIs" priority="160" operator="equal">
      <formula>0</formula>
    </cfRule>
  </conditionalFormatting>
  <conditionalFormatting sqref="D194">
    <cfRule type="duplicateValues" dxfId="320" priority="153"/>
  </conditionalFormatting>
  <conditionalFormatting sqref="I194">
    <cfRule type="cellIs" dxfId="321" priority="152" operator="equal">
      <formula>0</formula>
    </cfRule>
    <cfRule type="cellIs" priority="151" operator="equal">
      <formula>0</formula>
    </cfRule>
  </conditionalFormatting>
  <conditionalFormatting sqref="D195">
    <cfRule type="duplicateValues" dxfId="322" priority="144"/>
  </conditionalFormatting>
  <conditionalFormatting sqref="I195">
    <cfRule type="cellIs" dxfId="323" priority="143" operator="equal">
      <formula>0</formula>
    </cfRule>
    <cfRule type="cellIs" priority="142" operator="equal">
      <formula>0</formula>
    </cfRule>
  </conditionalFormatting>
  <conditionalFormatting sqref="D196">
    <cfRule type="duplicateValues" dxfId="324" priority="147"/>
  </conditionalFormatting>
  <conditionalFormatting sqref="I196">
    <cfRule type="cellIs" dxfId="325" priority="146" operator="equal">
      <formula>0</formula>
    </cfRule>
    <cfRule type="cellIs" priority="145" operator="equal">
      <formula>0</formula>
    </cfRule>
  </conditionalFormatting>
  <conditionalFormatting sqref="D197">
    <cfRule type="duplicateValues" dxfId="326" priority="150"/>
  </conditionalFormatting>
  <conditionalFormatting sqref="I197">
    <cfRule type="cellIs" dxfId="327" priority="149" operator="equal">
      <formula>0</formula>
    </cfRule>
    <cfRule type="cellIs" priority="148" operator="equal">
      <formula>0</formula>
    </cfRule>
  </conditionalFormatting>
  <conditionalFormatting sqref="D198">
    <cfRule type="duplicateValues" dxfId="328" priority="156"/>
  </conditionalFormatting>
  <conditionalFormatting sqref="I198">
    <cfRule type="cellIs" dxfId="329" priority="155" operator="equal">
      <formula>0</formula>
    </cfRule>
    <cfRule type="cellIs" priority="154" operator="equal">
      <formula>0</formula>
    </cfRule>
  </conditionalFormatting>
  <conditionalFormatting sqref="D199">
    <cfRule type="duplicateValues" dxfId="330" priority="159"/>
  </conditionalFormatting>
  <conditionalFormatting sqref="I199">
    <cfRule type="cellIs" dxfId="331" priority="158" operator="equal">
      <formula>0</formula>
    </cfRule>
    <cfRule type="cellIs" priority="157" operator="equal">
      <formula>0</formula>
    </cfRule>
  </conditionalFormatting>
  <conditionalFormatting sqref="B113:B114">
    <cfRule type="duplicateValues" dxfId="332" priority="131"/>
  </conditionalFormatting>
  <conditionalFormatting sqref="D7:D8">
    <cfRule type="duplicateValues" dxfId="333" priority="46"/>
  </conditionalFormatting>
  <conditionalFormatting sqref="D92:D107">
    <cfRule type="duplicateValues" dxfId="334" priority="141"/>
  </conditionalFormatting>
  <conditionalFormatting sqref="D109:D111">
    <cfRule type="duplicateValues" dxfId="335" priority="136"/>
  </conditionalFormatting>
  <conditionalFormatting sqref="D113:D114">
    <cfRule type="duplicateValues" dxfId="336" priority="130"/>
  </conditionalFormatting>
  <conditionalFormatting sqref="I7:I8">
    <cfRule type="cellIs" dxfId="337" priority="43" operator="equal">
      <formula>0</formula>
    </cfRule>
    <cfRule type="cellIs" priority="42" operator="equal">
      <formula>0</formula>
    </cfRule>
  </conditionalFormatting>
  <conditionalFormatting sqref="I11:I12">
    <cfRule type="cellIs" dxfId="338" priority="60" operator="equal">
      <formula>0</formula>
    </cfRule>
    <cfRule type="cellIs" priority="59" operator="equal">
      <formula>0</formula>
    </cfRule>
  </conditionalFormatting>
  <conditionalFormatting sqref="I24:I27">
    <cfRule type="cellIs" dxfId="339" priority="96" operator="equal">
      <formula>0</formula>
    </cfRule>
    <cfRule type="cellIs" priority="95" operator="equal">
      <formula>0</formula>
    </cfRule>
  </conditionalFormatting>
  <conditionalFormatting sqref="I28:I29">
    <cfRule type="cellIs" dxfId="340" priority="94" operator="equal">
      <formula>0</formula>
    </cfRule>
    <cfRule type="cellIs" priority="93" operator="equal">
      <formula>0</formula>
    </cfRule>
  </conditionalFormatting>
  <conditionalFormatting sqref="I31:I32">
    <cfRule type="cellIs" dxfId="341" priority="92" operator="equal">
      <formula>0</formula>
    </cfRule>
    <cfRule type="cellIs" priority="91" operator="equal">
      <formula>0</formula>
    </cfRule>
  </conditionalFormatting>
  <conditionalFormatting sqref="I34:I38">
    <cfRule type="cellIs" dxfId="342" priority="90" operator="equal">
      <formula>0</formula>
    </cfRule>
    <cfRule type="cellIs" priority="89" operator="equal">
      <formula>0</formula>
    </cfRule>
  </conditionalFormatting>
  <conditionalFormatting sqref="I40:I42">
    <cfRule type="cellIs" dxfId="343" priority="88" operator="equal">
      <formula>0</formula>
    </cfRule>
    <cfRule type="cellIs" priority="87" operator="equal">
      <formula>0</formula>
    </cfRule>
  </conditionalFormatting>
  <conditionalFormatting sqref="I44:I48">
    <cfRule type="cellIs" dxfId="344" priority="86" operator="equal">
      <formula>0</formula>
    </cfRule>
    <cfRule type="cellIs" priority="85" operator="equal">
      <formula>0</formula>
    </cfRule>
  </conditionalFormatting>
  <conditionalFormatting sqref="I50:I51">
    <cfRule type="cellIs" dxfId="345" priority="84" operator="equal">
      <formula>0</formula>
    </cfRule>
    <cfRule type="cellIs" priority="83" operator="equal">
      <formula>0</formula>
    </cfRule>
  </conditionalFormatting>
  <conditionalFormatting sqref="I54:I55">
    <cfRule type="cellIs" dxfId="346" priority="104" operator="equal">
      <formula>0</formula>
    </cfRule>
    <cfRule type="cellIs" priority="103" operator="equal">
      <formula>0</formula>
    </cfRule>
  </conditionalFormatting>
  <conditionalFormatting sqref="I92:I107">
    <cfRule type="cellIs" dxfId="347" priority="178" operator="equal">
      <formula>0</formula>
    </cfRule>
    <cfRule type="cellIs" priority="177" operator="equal">
      <formula>0</formula>
    </cfRule>
  </conditionalFormatting>
  <conditionalFormatting sqref="I109:I111">
    <cfRule type="cellIs" dxfId="348" priority="121" operator="equal">
      <formula>0</formula>
    </cfRule>
    <cfRule type="cellIs" priority="120" operator="equal">
      <formula>0</formula>
    </cfRule>
  </conditionalFormatting>
  <conditionalFormatting sqref="I120:I121">
    <cfRule type="cellIs" dxfId="349" priority="176" operator="equal">
      <formula>0</formula>
    </cfRule>
    <cfRule type="cellIs" priority="175" operator="equal">
      <formula>0</formula>
    </cfRule>
  </conditionalFormatting>
  <conditionalFormatting sqref="I123:I124">
    <cfRule type="cellIs" dxfId="350" priority="174" operator="equal">
      <formula>0</formula>
    </cfRule>
    <cfRule type="cellIs" priority="173" operator="equal">
      <formula>0</formula>
    </cfRule>
  </conditionalFormatting>
  <conditionalFormatting sqref="I154:I155">
    <cfRule type="cellIs" dxfId="351" priority="194" operator="equal">
      <formula>0</formula>
    </cfRule>
    <cfRule type="cellIs" priority="193" operator="equal">
      <formula>0</formula>
    </cfRule>
  </conditionalFormatting>
  <conditionalFormatting sqref="I160:I162">
    <cfRule type="cellIs" dxfId="352" priority="192" operator="equal">
      <formula>0</formula>
    </cfRule>
    <cfRule type="cellIs" priority="191" operator="equal">
      <formula>0</formula>
    </cfRule>
  </conditionalFormatting>
  <conditionalFormatting sqref="I169:I172">
    <cfRule type="cellIs" dxfId="353" priority="188" operator="equal">
      <formula>0</formula>
    </cfRule>
    <cfRule type="cellIs" priority="187" operator="equal">
      <formula>0</formula>
    </cfRule>
  </conditionalFormatting>
  <conditionalFormatting sqref="I183:I184">
    <cfRule type="cellIs" dxfId="354" priority="180" operator="equal">
      <formula>0</formula>
    </cfRule>
    <cfRule type="cellIs" priority="179" operator="equal">
      <formula>0</formula>
    </cfRule>
  </conditionalFormatting>
  <conditionalFormatting sqref="J109:J111">
    <cfRule type="cellIs" dxfId="355" priority="12" operator="equal">
      <formula>0</formula>
    </cfRule>
    <cfRule type="cellIs" priority="11" operator="equal">
      <formula>0</formula>
    </cfRule>
  </conditionalFormatting>
  <conditionalFormatting sqref="K7:K8">
    <cfRule type="cellIs" dxfId="356" priority="45" operator="equal">
      <formula>0</formula>
    </cfRule>
    <cfRule type="cellIs" priority="44" operator="equal">
      <formula>0</formula>
    </cfRule>
  </conditionalFormatting>
  <conditionalFormatting sqref="K11:K12">
    <cfRule type="cellIs" dxfId="357" priority="62" operator="equal">
      <formula>0</formula>
    </cfRule>
    <cfRule type="cellIs" priority="61" operator="equal">
      <formula>0</formula>
    </cfRule>
  </conditionalFormatting>
  <conditionalFormatting sqref="K109:K111">
    <cfRule type="cellIs" dxfId="358" priority="135" operator="equal">
      <formula>0</formula>
    </cfRule>
    <cfRule type="cellIs" priority="134" operator="equal">
      <formula>0</formula>
    </cfRule>
  </conditionalFormatting>
  <conditionalFormatting sqref="K113:K114">
    <cfRule type="cellIs" dxfId="359" priority="127" operator="equal">
      <formula>0</formula>
    </cfRule>
    <cfRule type="cellIs" priority="126" operator="equal">
      <formula>0</formula>
    </cfRule>
  </conditionalFormatting>
  <conditionalFormatting sqref="M93:M107">
    <cfRule type="cellIs" dxfId="360" priority="138" operator="equal">
      <formula>0</formula>
    </cfRule>
    <cfRule type="cellIs" priority="137" operator="equal">
      <formula>0</formula>
    </cfRule>
  </conditionalFormatting>
  <conditionalFormatting sqref="M109:M111">
    <cfRule type="cellIs" priority="132" operator="equal">
      <formula>0</formula>
    </cfRule>
    <cfRule type="cellIs" dxfId="361" priority="133" operator="equal">
      <formula>0</formula>
    </cfRule>
  </conditionalFormatting>
  <conditionalFormatting sqref="M113:M114">
    <cfRule type="cellIs" priority="124" operator="equal">
      <formula>0</formula>
    </cfRule>
    <cfRule type="cellIs" dxfId="362" priority="125" operator="equal">
      <formula>0</formula>
    </cfRule>
  </conditionalFormatting>
  <conditionalFormatting sqref="D201:D1048576 D90:D91 D1:D3 D108 D112 D115:D156 D158:D189">
    <cfRule type="duplicateValues" dxfId="363" priority="218"/>
  </conditionalFormatting>
  <conditionalFormatting sqref="D9:D20 D4:D5 D23:D89">
    <cfRule type="duplicateValues" dxfId="364" priority="118"/>
  </conditionalFormatting>
  <conditionalFormatting sqref="I59:I60 I4:I5 I30 I39 I53 I57 I64:I65 I80:I83 I75:I78 I67:I73 I87:I89 I33 I9 I13 K4:K6 K13 K16:K20 I16:I17 K9:K10 K23:K50 K52:K89">
    <cfRule type="cellIs" dxfId="365" priority="117" operator="equal">
      <formula>0</formula>
    </cfRule>
  </conditionalFormatting>
  <conditionalFormatting sqref="I59:I60 I30 I39 I53 I57 I64:I65 I80:I83 I75:I78 I67:I73 I87:I89 I33 I9 I13 K6 K13 K16:K20 I16:I17 K9:K10 K23:K50 K52:K89">
    <cfRule type="cellIs" priority="116" operator="equal">
      <formula>0</formula>
    </cfRule>
  </conditionalFormatting>
  <conditionalFormatting sqref="I14:I15 K14:K15">
    <cfRule type="cellIs" dxfId="366" priority="58" operator="equal">
      <formula>0</formula>
    </cfRule>
    <cfRule type="cellIs" priority="57" operator="equal">
      <formula>0</formula>
    </cfRule>
  </conditionalFormatting>
  <conditionalFormatting sqref="I18:I20 I23">
    <cfRule type="cellIs" dxfId="367" priority="98" operator="equal">
      <formula>0</formula>
    </cfRule>
    <cfRule type="cellIs" priority="97" operator="equal">
      <formula>0</formula>
    </cfRule>
  </conditionalFormatting>
  <conditionalFormatting sqref="I122 I125:I133 I151:I153 I135 I139:I141 I144:I147 I149 I156 I163:I165 I173:I178 I168 I182 I185:I189 I201:I1048576 J114:J115 I112:K112 J116:K145 I90:K91 I158:I159 I108:K108 K92:K107 I114:I119 J147:K156 J146 J158:K1048576">
    <cfRule type="cellIs" dxfId="368" priority="217" operator="equal">
      <formula>0</formula>
    </cfRule>
  </conditionalFormatting>
  <conditionalFormatting sqref="I122 I125:I133 I151:I153 I135 I139:I141 I144:I147 I149 I156 I163:I165 I173:I178 I168 I182 I185:I189 J114:J115 I112:K112 J116:K145 I90:K91 I158:I159 I108:K108 K92:K107 I114:I119 J147:K156 J146 J158:K200">
    <cfRule type="cellIs" priority="216" operator="equal">
      <formula>0</formula>
    </cfRule>
  </conditionalFormatting>
  <conditionalFormatting sqref="J97 J106:J107">
    <cfRule type="cellIs" dxfId="369" priority="38" operator="equal">
      <formula>0</formula>
    </cfRule>
    <cfRule type="cellIs" priority="37" operator="equal">
      <formula>0</formula>
    </cfRule>
  </conditionalFormatting>
  <conditionalFormatting sqref="B112:C112 B115:C115">
    <cfRule type="duplicateValues" dxfId="370" priority="212"/>
  </conditionalFormatting>
  <conditionalFormatting sqref="D200 D190:D193">
    <cfRule type="duplicateValues" dxfId="371" priority="164"/>
  </conditionalFormatting>
  <conditionalFormatting sqref="I191:I193 I200">
    <cfRule type="cellIs" dxfId="372" priority="163" operator="equal">
      <formula>0</formula>
    </cfRule>
    <cfRule type="cellIs" priority="162" operator="equal">
      <formula>0</formula>
    </cfRule>
  </conditionalFormatting>
  <pageMargins left="0.699305555555556" right="0.699305555555556" top="0.75" bottom="0.75" header="0.3" footer="0.3"/>
  <pageSetup paperSize="9" orientation="portrait"/>
  <headerFooter/>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outlinePr summaryBelow="0" summaryRight="0"/>
  </sheetPr>
  <dimension ref="A1:Y205"/>
  <sheetViews>
    <sheetView zoomScale="85" zoomScaleNormal="85" workbookViewId="0">
      <pane ySplit="3" topLeftCell="A60" activePane="bottomLeft" state="frozen"/>
      <selection/>
      <selection pane="bottomLeft" activeCell="A1" sqref="A1"/>
    </sheetView>
  </sheetViews>
  <sheetFormatPr defaultColWidth="9" defaultRowHeight="24" customHeight="1"/>
  <cols>
    <col min="1" max="1" width="3.4" style="168" customWidth="1"/>
    <col min="2" max="2" width="17.6" style="168" customWidth="1"/>
    <col min="3" max="3" width="5.1" style="166" customWidth="1"/>
    <col min="4" max="4" width="29.5" style="168" customWidth="1"/>
    <col min="5" max="5" width="20.9" style="166" customWidth="1"/>
    <col min="6" max="6" width="17.9" style="166" customWidth="1"/>
    <col min="7" max="7" width="8.4" style="166" customWidth="1"/>
    <col min="8" max="8" width="7.4" style="166" customWidth="1"/>
    <col min="9" max="11" width="9" style="458" customWidth="1"/>
    <col min="12" max="12" width="9.4" style="166" customWidth="1"/>
    <col min="13" max="13" width="9.5" style="166" customWidth="1"/>
    <col min="14" max="14" width="9.6" style="459" customWidth="1"/>
    <col min="15" max="15" width="9" style="169" customWidth="1"/>
    <col min="16" max="16" width="9.4" style="169" customWidth="1"/>
    <col min="17" max="17" width="9" style="168" customWidth="1"/>
    <col min="18" max="18" width="20.6" style="168" customWidth="1"/>
    <col min="19" max="19" width="9.4" style="168" customWidth="1"/>
    <col min="20" max="20" width="26.6" style="168" customWidth="1"/>
    <col min="21" max="23" width="9.1" style="168" hidden="1" customWidth="1"/>
    <col min="24" max="24" width="9.1" style="168" customWidth="1"/>
    <col min="25" max="25" width="9.1" style="460" customWidth="1"/>
    <col min="26" max="26" width="9.1" style="168" customWidth="1"/>
    <col min="27" max="16384" width="9" style="168"/>
  </cols>
  <sheetData>
    <row r="1" s="456" customFormat="1" ht="21.75" customHeight="1" spans="3:25">
      <c r="C1" s="461"/>
      <c r="D1" s="462" t="s">
        <v>195</v>
      </c>
      <c r="E1" s="375" t="s">
        <v>505</v>
      </c>
      <c r="F1" s="375" t="s">
        <v>603</v>
      </c>
      <c r="G1" s="375" t="s">
        <v>862</v>
      </c>
      <c r="H1" s="375" t="s">
        <v>601</v>
      </c>
      <c r="I1" s="375" t="s">
        <v>602</v>
      </c>
      <c r="J1" s="375" t="s">
        <v>1252</v>
      </c>
      <c r="M1" s="481"/>
      <c r="N1" s="482"/>
      <c r="O1" s="482"/>
      <c r="P1" s="483"/>
      <c r="S1" s="456">
        <v>418</v>
      </c>
      <c r="Y1" s="501"/>
    </row>
    <row r="2" s="456" customFormat="1" ht="17.25" customHeight="1" spans="3:25">
      <c r="C2" s="461"/>
      <c r="D2" s="462" t="s">
        <v>1524</v>
      </c>
      <c r="E2" s="463">
        <v>13190</v>
      </c>
      <c r="F2" s="464">
        <v>0</v>
      </c>
      <c r="G2" s="465">
        <v>1300</v>
      </c>
      <c r="H2" s="465">
        <v>350</v>
      </c>
      <c r="I2" s="465">
        <v>1</v>
      </c>
      <c r="J2" s="465">
        <v>13</v>
      </c>
      <c r="M2" s="481"/>
      <c r="N2" s="484"/>
      <c r="O2" s="484"/>
      <c r="P2" s="483"/>
      <c r="Y2" s="501"/>
    </row>
    <row r="3" s="166" customFormat="1" ht="33" customHeight="1" spans="2:16">
      <c r="B3" s="466" t="s">
        <v>21</v>
      </c>
      <c r="C3" s="466"/>
      <c r="D3" s="466" t="s">
        <v>494</v>
      </c>
      <c r="E3" s="467" t="s">
        <v>605</v>
      </c>
      <c r="F3" s="467" t="s">
        <v>606</v>
      </c>
      <c r="G3" s="467" t="s">
        <v>607</v>
      </c>
      <c r="H3" s="467" t="s">
        <v>608</v>
      </c>
      <c r="I3" s="467" t="s">
        <v>1525</v>
      </c>
      <c r="J3" s="485" t="s">
        <v>610</v>
      </c>
      <c r="K3" s="486" t="s">
        <v>611</v>
      </c>
      <c r="L3" s="485" t="s">
        <v>612</v>
      </c>
      <c r="M3" s="485" t="s">
        <v>613</v>
      </c>
      <c r="N3" s="52" t="s">
        <v>614</v>
      </c>
      <c r="O3" s="487" t="s">
        <v>1526</v>
      </c>
      <c r="P3" s="466" t="s">
        <v>1300</v>
      </c>
    </row>
    <row r="4" ht="16.5" customHeight="1" spans="2:25">
      <c r="B4" s="468" t="s">
        <v>875</v>
      </c>
      <c r="C4" s="469" t="s">
        <v>533</v>
      </c>
      <c r="D4" s="468" t="s">
        <v>481</v>
      </c>
      <c r="E4" s="192"/>
      <c r="F4" s="192"/>
      <c r="G4" s="192"/>
      <c r="H4" s="192"/>
      <c r="I4" s="488"/>
      <c r="J4" s="192"/>
      <c r="K4" s="489"/>
      <c r="L4" s="192"/>
      <c r="M4" s="192"/>
      <c r="N4" s="490">
        <v>2289.07899329231</v>
      </c>
      <c r="O4" s="491">
        <v>1735.46549908439</v>
      </c>
      <c r="P4" s="230"/>
      <c r="Y4" s="168"/>
    </row>
    <row r="5" ht="16.5" customHeight="1" outlineLevel="1" spans="2:25">
      <c r="B5" s="121" t="s">
        <v>534</v>
      </c>
      <c r="C5" s="193">
        <v>1</v>
      </c>
      <c r="D5" s="121" t="s">
        <v>1527</v>
      </c>
      <c r="E5" s="193"/>
      <c r="F5" s="193"/>
      <c r="G5" s="193"/>
      <c r="H5" s="155"/>
      <c r="I5" s="492"/>
      <c r="J5" s="155"/>
      <c r="K5" s="493"/>
      <c r="L5" s="494">
        <v>1534.13740347904</v>
      </c>
      <c r="M5" s="494">
        <v>170.145707913266</v>
      </c>
      <c r="N5" s="494">
        <v>1704.28311139231</v>
      </c>
      <c r="O5" s="495">
        <v>1292.10243471744</v>
      </c>
      <c r="P5" s="233"/>
      <c r="Y5" s="168"/>
    </row>
    <row r="6" ht="16.5" customHeight="1" outlineLevel="2" spans="2:25">
      <c r="B6" s="470" t="s">
        <v>1528</v>
      </c>
      <c r="C6" s="471" t="s">
        <v>619</v>
      </c>
      <c r="D6" s="470" t="s">
        <v>1529</v>
      </c>
      <c r="E6" s="95" t="s">
        <v>774</v>
      </c>
      <c r="F6" s="95"/>
      <c r="G6" s="236"/>
      <c r="H6" s="472"/>
      <c r="I6" s="144"/>
      <c r="J6" s="496"/>
      <c r="K6" s="497"/>
      <c r="L6" s="498">
        <v>2.808</v>
      </c>
      <c r="M6" s="498">
        <v>0.30888</v>
      </c>
      <c r="N6" s="498">
        <v>3.11688</v>
      </c>
      <c r="O6" s="499">
        <v>2.36306292645944</v>
      </c>
      <c r="P6" s="309"/>
      <c r="Y6" s="168"/>
    </row>
    <row r="7" ht="16.5" customHeight="1" outlineLevel="3" spans="2:25">
      <c r="B7" s="470" t="s">
        <v>1530</v>
      </c>
      <c r="C7" s="473" t="s">
        <v>622</v>
      </c>
      <c r="D7" s="474" t="s">
        <v>1531</v>
      </c>
      <c r="E7" s="95"/>
      <c r="F7" s="95"/>
      <c r="G7" s="95"/>
      <c r="H7" s="472" t="s">
        <v>827</v>
      </c>
      <c r="I7" s="144">
        <v>3000</v>
      </c>
      <c r="J7" s="496">
        <v>31.5315315315315</v>
      </c>
      <c r="K7" s="497">
        <v>0.11</v>
      </c>
      <c r="L7" s="496">
        <v>0</v>
      </c>
      <c r="M7" s="496">
        <v>0</v>
      </c>
      <c r="N7" s="498">
        <v>0</v>
      </c>
      <c r="O7" s="499">
        <v>0</v>
      </c>
      <c r="P7" s="309"/>
      <c r="Y7" s="168"/>
    </row>
    <row r="8" ht="16.5" customHeight="1" outlineLevel="3" spans="2:25">
      <c r="B8" s="470" t="s">
        <v>1532</v>
      </c>
      <c r="C8" s="473" t="s">
        <v>622</v>
      </c>
      <c r="D8" s="474" t="s">
        <v>1533</v>
      </c>
      <c r="E8" s="95"/>
      <c r="F8" s="95" t="s">
        <v>862</v>
      </c>
      <c r="G8" s="95">
        <v>2</v>
      </c>
      <c r="H8" s="472" t="s">
        <v>827</v>
      </c>
      <c r="I8" s="144">
        <v>1300</v>
      </c>
      <c r="J8" s="496">
        <v>10.8</v>
      </c>
      <c r="K8" s="497">
        <v>0.11</v>
      </c>
      <c r="L8" s="496">
        <v>2.808</v>
      </c>
      <c r="M8" s="496">
        <v>0.30888</v>
      </c>
      <c r="N8" s="498">
        <v>3.11688</v>
      </c>
      <c r="O8" s="499">
        <v>2.36306292645944</v>
      </c>
      <c r="P8" s="309"/>
      <c r="Y8" s="168"/>
    </row>
    <row r="9" ht="16.5" customHeight="1" outlineLevel="2" spans="2:25">
      <c r="B9" s="470" t="s">
        <v>1534</v>
      </c>
      <c r="C9" s="471" t="s">
        <v>657</v>
      </c>
      <c r="D9" s="470" t="s">
        <v>535</v>
      </c>
      <c r="E9" s="95"/>
      <c r="F9" s="95"/>
      <c r="G9" s="236"/>
      <c r="H9" s="236"/>
      <c r="I9" s="144"/>
      <c r="J9" s="500">
        <v>0</v>
      </c>
      <c r="K9" s="497"/>
      <c r="L9" s="498">
        <v>1531.32940347904</v>
      </c>
      <c r="M9" s="498">
        <v>169.836827913266</v>
      </c>
      <c r="N9" s="498">
        <v>1701.16623139231</v>
      </c>
      <c r="O9" s="499">
        <v>1289.73937179098</v>
      </c>
      <c r="P9" s="309"/>
      <c r="Y9" s="168"/>
    </row>
    <row r="10" ht="16.5" customHeight="1" outlineLevel="3" spans="2:25">
      <c r="B10" s="470" t="s">
        <v>1535</v>
      </c>
      <c r="C10" s="473" t="s">
        <v>622</v>
      </c>
      <c r="D10" s="470" t="s">
        <v>1536</v>
      </c>
      <c r="E10" s="290" t="s">
        <v>774</v>
      </c>
      <c r="F10" s="290" t="s">
        <v>1537</v>
      </c>
      <c r="G10" s="475"/>
      <c r="H10" s="292"/>
      <c r="I10" s="475"/>
      <c r="J10" s="500">
        <v>0</v>
      </c>
      <c r="K10" s="497"/>
      <c r="L10" s="498">
        <v>219.595675675676</v>
      </c>
      <c r="M10" s="498">
        <v>24.1555243243243</v>
      </c>
      <c r="N10" s="498">
        <v>243.7512</v>
      </c>
      <c r="O10" s="499">
        <v>184.8</v>
      </c>
      <c r="P10" s="309"/>
      <c r="Y10" s="168"/>
    </row>
    <row r="11" ht="16.5" customHeight="1" outlineLevel="4" spans="2:25">
      <c r="B11" s="470" t="s">
        <v>1538</v>
      </c>
      <c r="C11" s="473"/>
      <c r="D11" s="476" t="s">
        <v>1539</v>
      </c>
      <c r="E11" s="290"/>
      <c r="F11" s="290" t="s">
        <v>1537</v>
      </c>
      <c r="G11" s="475"/>
      <c r="H11" s="292" t="s">
        <v>827</v>
      </c>
      <c r="I11" s="475">
        <v>13190</v>
      </c>
      <c r="J11" s="500"/>
      <c r="K11" s="497">
        <v>0.17</v>
      </c>
      <c r="L11" s="496">
        <v>0</v>
      </c>
      <c r="M11" s="496">
        <v>0</v>
      </c>
      <c r="N11" s="498">
        <v>0</v>
      </c>
      <c r="O11" s="499"/>
      <c r="P11" s="309"/>
      <c r="Y11" s="168"/>
    </row>
    <row r="12" ht="16.5" customHeight="1" outlineLevel="4" spans="2:25">
      <c r="B12" s="470" t="s">
        <v>1540</v>
      </c>
      <c r="C12" s="473"/>
      <c r="D12" s="476" t="s">
        <v>1541</v>
      </c>
      <c r="E12" s="290"/>
      <c r="F12" s="290" t="s">
        <v>1537</v>
      </c>
      <c r="G12" s="475">
        <v>0.42</v>
      </c>
      <c r="H12" s="292" t="s">
        <v>827</v>
      </c>
      <c r="I12" s="475">
        <v>13190</v>
      </c>
      <c r="J12" s="500">
        <v>396.396396396396</v>
      </c>
      <c r="K12" s="497">
        <v>0.11</v>
      </c>
      <c r="L12" s="496">
        <v>219.595675675676</v>
      </c>
      <c r="M12" s="496">
        <v>24.1555243243243</v>
      </c>
      <c r="N12" s="498">
        <v>243.7512</v>
      </c>
      <c r="O12" s="499"/>
      <c r="P12" s="309"/>
      <c r="Y12" s="168"/>
    </row>
    <row r="13" ht="16.5" customHeight="1" outlineLevel="3" spans="2:25">
      <c r="B13" s="470" t="s">
        <v>1542</v>
      </c>
      <c r="C13" s="473" t="s">
        <v>622</v>
      </c>
      <c r="D13" s="470" t="s">
        <v>1543</v>
      </c>
      <c r="E13" s="290" t="s">
        <v>774</v>
      </c>
      <c r="F13" s="290" t="s">
        <v>1537</v>
      </c>
      <c r="G13" s="475"/>
      <c r="H13" s="292"/>
      <c r="I13" s="475"/>
      <c r="J13" s="500">
        <v>0</v>
      </c>
      <c r="K13" s="497"/>
      <c r="L13" s="498">
        <v>308.954954954955</v>
      </c>
      <c r="M13" s="498">
        <v>33.985045045045</v>
      </c>
      <c r="N13" s="498">
        <v>342.94</v>
      </c>
      <c r="O13" s="499">
        <v>260</v>
      </c>
      <c r="P13" s="309"/>
      <c r="Y13" s="168"/>
    </row>
    <row r="14" ht="16.5" customHeight="1" outlineLevel="4" spans="2:25">
      <c r="B14" s="470" t="s">
        <v>1544</v>
      </c>
      <c r="C14" s="473"/>
      <c r="D14" s="476" t="s">
        <v>1545</v>
      </c>
      <c r="E14" s="290"/>
      <c r="F14" s="290"/>
      <c r="G14" s="475"/>
      <c r="H14" s="292" t="s">
        <v>1546</v>
      </c>
      <c r="I14" s="475">
        <v>13190</v>
      </c>
      <c r="J14" s="500"/>
      <c r="K14" s="497">
        <v>0.17</v>
      </c>
      <c r="L14" s="496">
        <v>0</v>
      </c>
      <c r="M14" s="496">
        <v>0</v>
      </c>
      <c r="N14" s="498">
        <v>0</v>
      </c>
      <c r="O14" s="499">
        <v>0</v>
      </c>
      <c r="P14" s="309"/>
      <c r="Y14" s="168"/>
    </row>
    <row r="15" ht="16.5" customHeight="1" outlineLevel="4" spans="2:25">
      <c r="B15" s="470" t="s">
        <v>1547</v>
      </c>
      <c r="C15" s="473"/>
      <c r="D15" s="476" t="s">
        <v>1548</v>
      </c>
      <c r="E15" s="290"/>
      <c r="F15" s="290"/>
      <c r="G15" s="475">
        <v>52</v>
      </c>
      <c r="H15" s="292" t="s">
        <v>1546</v>
      </c>
      <c r="I15" s="475">
        <v>13190</v>
      </c>
      <c r="J15" s="500">
        <v>4.5045045045045</v>
      </c>
      <c r="K15" s="497">
        <v>0.11</v>
      </c>
      <c r="L15" s="496">
        <v>308.954954954955</v>
      </c>
      <c r="M15" s="496">
        <v>33.985045045045</v>
      </c>
      <c r="N15" s="498">
        <v>342.94</v>
      </c>
      <c r="O15" s="499">
        <v>260</v>
      </c>
      <c r="P15" s="309"/>
      <c r="Y15" s="168"/>
    </row>
    <row r="16" ht="16.5" customHeight="1" outlineLevel="3" spans="2:25">
      <c r="B16" s="470" t="s">
        <v>1549</v>
      </c>
      <c r="C16" s="473" t="s">
        <v>622</v>
      </c>
      <c r="D16" s="470" t="s">
        <v>1550</v>
      </c>
      <c r="E16" s="290" t="s">
        <v>774</v>
      </c>
      <c r="F16" s="290" t="s">
        <v>1537</v>
      </c>
      <c r="G16" s="475">
        <v>3.8</v>
      </c>
      <c r="H16" s="292" t="s">
        <v>1015</v>
      </c>
      <c r="I16" s="475">
        <v>13190</v>
      </c>
      <c r="J16" s="475">
        <v>49.55</v>
      </c>
      <c r="K16" s="497">
        <v>0.11</v>
      </c>
      <c r="L16" s="496">
        <v>248.35451</v>
      </c>
      <c r="M16" s="496">
        <v>27.3189961</v>
      </c>
      <c r="N16" s="498">
        <v>275.6735061</v>
      </c>
      <c r="O16" s="499">
        <v>209.0019</v>
      </c>
      <c r="P16" s="236"/>
      <c r="Y16" s="168"/>
    </row>
    <row r="17" ht="16.5" customHeight="1" outlineLevel="3" spans="2:25">
      <c r="B17" s="470" t="s">
        <v>1551</v>
      </c>
      <c r="C17" s="473" t="s">
        <v>622</v>
      </c>
      <c r="D17" s="470" t="s">
        <v>1552</v>
      </c>
      <c r="E17" s="290" t="s">
        <v>774</v>
      </c>
      <c r="F17" s="290"/>
      <c r="G17" s="475"/>
      <c r="H17" s="292"/>
      <c r="I17" s="475"/>
      <c r="J17" s="200">
        <v>0</v>
      </c>
      <c r="K17" s="497"/>
      <c r="L17" s="498">
        <v>130.711711711712</v>
      </c>
      <c r="M17" s="498">
        <v>14.3782882882883</v>
      </c>
      <c r="N17" s="498">
        <v>145.09</v>
      </c>
      <c r="O17" s="499">
        <v>110</v>
      </c>
      <c r="P17" s="236"/>
      <c r="Y17" s="168"/>
    </row>
    <row r="18" ht="16.5" customHeight="1" outlineLevel="4" spans="2:25">
      <c r="B18" s="470" t="s">
        <v>1553</v>
      </c>
      <c r="C18" s="473"/>
      <c r="D18" s="476" t="s">
        <v>1554</v>
      </c>
      <c r="E18" s="290"/>
      <c r="F18" s="290" t="s">
        <v>1537</v>
      </c>
      <c r="G18" s="475"/>
      <c r="H18" s="292" t="s">
        <v>827</v>
      </c>
      <c r="I18" s="475">
        <v>13190</v>
      </c>
      <c r="J18" s="200"/>
      <c r="K18" s="497">
        <v>0.17</v>
      </c>
      <c r="L18" s="496">
        <v>0</v>
      </c>
      <c r="M18" s="496">
        <v>0</v>
      </c>
      <c r="N18" s="498">
        <v>0</v>
      </c>
      <c r="O18" s="499">
        <v>0</v>
      </c>
      <c r="P18" s="236"/>
      <c r="Y18" s="168"/>
    </row>
    <row r="19" ht="16.5" customHeight="1" outlineLevel="4" spans="2:25">
      <c r="B19" s="470" t="s">
        <v>1555</v>
      </c>
      <c r="C19" s="473"/>
      <c r="D19" s="476" t="s">
        <v>1556</v>
      </c>
      <c r="E19" s="290"/>
      <c r="F19" s="290" t="s">
        <v>1537</v>
      </c>
      <c r="G19" s="475">
        <v>0.2</v>
      </c>
      <c r="H19" s="477" t="s">
        <v>655</v>
      </c>
      <c r="I19" s="475">
        <v>13190</v>
      </c>
      <c r="J19" s="475">
        <v>495.495495495495</v>
      </c>
      <c r="K19" s="497">
        <v>0.11</v>
      </c>
      <c r="L19" s="496">
        <v>130.711711711712</v>
      </c>
      <c r="M19" s="496">
        <v>14.3782882882883</v>
      </c>
      <c r="N19" s="498">
        <v>145.09</v>
      </c>
      <c r="O19" s="499">
        <v>110</v>
      </c>
      <c r="P19" s="236"/>
      <c r="Y19" s="168"/>
    </row>
    <row r="20" ht="16.5" customHeight="1" outlineLevel="3" spans="2:25">
      <c r="B20" s="470" t="s">
        <v>1557</v>
      </c>
      <c r="C20" s="473" t="s">
        <v>622</v>
      </c>
      <c r="D20" s="470" t="s">
        <v>1558</v>
      </c>
      <c r="E20" s="290" t="s">
        <v>1353</v>
      </c>
      <c r="F20" s="290" t="s">
        <v>1537</v>
      </c>
      <c r="G20" s="478"/>
      <c r="H20" s="477"/>
      <c r="I20" s="475"/>
      <c r="J20" s="200">
        <v>0</v>
      </c>
      <c r="K20" s="497"/>
      <c r="L20" s="498">
        <v>0</v>
      </c>
      <c r="M20" s="498">
        <v>0</v>
      </c>
      <c r="N20" s="498">
        <v>0</v>
      </c>
      <c r="O20" s="499">
        <v>0</v>
      </c>
      <c r="P20" s="236"/>
      <c r="Y20" s="168"/>
    </row>
    <row r="21" ht="16.5" customHeight="1" outlineLevel="4" spans="2:25">
      <c r="B21" s="470" t="s">
        <v>1559</v>
      </c>
      <c r="C21" s="473"/>
      <c r="D21" s="476" t="s">
        <v>1560</v>
      </c>
      <c r="E21" s="290"/>
      <c r="F21" s="290" t="s">
        <v>1537</v>
      </c>
      <c r="G21" s="478"/>
      <c r="H21" s="477" t="s">
        <v>655</v>
      </c>
      <c r="I21" s="475">
        <v>13190</v>
      </c>
      <c r="J21" s="200">
        <v>620</v>
      </c>
      <c r="K21" s="497">
        <v>0.17</v>
      </c>
      <c r="L21" s="496">
        <v>0</v>
      </c>
      <c r="M21" s="496">
        <v>0</v>
      </c>
      <c r="N21" s="498">
        <v>0</v>
      </c>
      <c r="O21" s="499">
        <v>0</v>
      </c>
      <c r="P21" s="236"/>
      <c r="Y21" s="168"/>
    </row>
    <row r="22" ht="16.5" customHeight="1" outlineLevel="4" spans="2:25">
      <c r="B22" s="470" t="s">
        <v>1561</v>
      </c>
      <c r="C22" s="473"/>
      <c r="D22" s="476" t="s">
        <v>1562</v>
      </c>
      <c r="E22" s="290"/>
      <c r="F22" s="290" t="s">
        <v>1537</v>
      </c>
      <c r="G22" s="478"/>
      <c r="H22" s="477" t="s">
        <v>655</v>
      </c>
      <c r="I22" s="475">
        <v>13190</v>
      </c>
      <c r="J22" s="200">
        <v>370</v>
      </c>
      <c r="K22" s="497">
        <v>0.11</v>
      </c>
      <c r="L22" s="496">
        <v>0</v>
      </c>
      <c r="M22" s="496">
        <v>0</v>
      </c>
      <c r="N22" s="498">
        <v>0</v>
      </c>
      <c r="O22" s="499">
        <v>0</v>
      </c>
      <c r="P22" s="236"/>
      <c r="Y22" s="168"/>
    </row>
    <row r="23" ht="16.5" customHeight="1" outlineLevel="3" spans="2:25">
      <c r="B23" s="470" t="s">
        <v>1563</v>
      </c>
      <c r="C23" s="473" t="s">
        <v>622</v>
      </c>
      <c r="D23" s="470" t="s">
        <v>1564</v>
      </c>
      <c r="E23" s="479" t="s">
        <v>774</v>
      </c>
      <c r="F23" s="479"/>
      <c r="G23" s="478"/>
      <c r="H23" s="477" t="s">
        <v>827</v>
      </c>
      <c r="I23" s="475">
        <v>13190</v>
      </c>
      <c r="J23" s="500">
        <v>0</v>
      </c>
      <c r="K23" s="497"/>
      <c r="L23" s="498">
        <v>238.681962162162</v>
      </c>
      <c r="M23" s="498">
        <v>26.2550158378378</v>
      </c>
      <c r="N23" s="498">
        <v>264.936978</v>
      </c>
      <c r="O23" s="499">
        <v>200.862</v>
      </c>
      <c r="P23" s="309"/>
      <c r="Y23" s="168"/>
    </row>
    <row r="24" ht="16.5" customHeight="1" outlineLevel="4" spans="2:25">
      <c r="B24" s="470" t="s">
        <v>1565</v>
      </c>
      <c r="C24" s="473"/>
      <c r="D24" s="476" t="s">
        <v>1925</v>
      </c>
      <c r="E24" s="290"/>
      <c r="F24" s="290" t="s">
        <v>1537</v>
      </c>
      <c r="G24" s="480">
        <v>1</v>
      </c>
      <c r="H24" s="477" t="s">
        <v>1015</v>
      </c>
      <c r="I24" s="475">
        <v>13190</v>
      </c>
      <c r="J24" s="500">
        <v>21.6216216216216</v>
      </c>
      <c r="K24" s="497">
        <v>0.11</v>
      </c>
      <c r="L24" s="496">
        <v>28.5189189189189</v>
      </c>
      <c r="M24" s="496">
        <v>3.13708108108108</v>
      </c>
      <c r="N24" s="498">
        <v>31.656</v>
      </c>
      <c r="O24" s="499">
        <v>24</v>
      </c>
      <c r="P24" s="309"/>
      <c r="Y24" s="168"/>
    </row>
    <row r="25" ht="16.5" customHeight="1" outlineLevel="4" spans="2:25">
      <c r="B25" s="470" t="s">
        <v>1567</v>
      </c>
      <c r="C25" s="473"/>
      <c r="D25" s="476" t="s">
        <v>1926</v>
      </c>
      <c r="E25" s="290"/>
      <c r="F25" s="290" t="s">
        <v>1537</v>
      </c>
      <c r="G25" s="565">
        <v>2.6</v>
      </c>
      <c r="H25" s="477" t="s">
        <v>1015</v>
      </c>
      <c r="I25" s="475">
        <v>13190</v>
      </c>
      <c r="J25" s="500">
        <v>45.7657657657658</v>
      </c>
      <c r="K25" s="497">
        <v>0.11</v>
      </c>
      <c r="L25" s="496">
        <v>156.949117117117</v>
      </c>
      <c r="M25" s="496">
        <v>17.2644028828829</v>
      </c>
      <c r="N25" s="498">
        <v>174.21352</v>
      </c>
      <c r="O25" s="499">
        <v>132.08</v>
      </c>
      <c r="P25" s="309"/>
      <c r="Y25" s="168"/>
    </row>
    <row r="26" ht="16.5" customHeight="1" outlineLevel="4" spans="2:25">
      <c r="B26" s="470" t="s">
        <v>1569</v>
      </c>
      <c r="C26" s="473"/>
      <c r="D26" s="476" t="s">
        <v>1927</v>
      </c>
      <c r="E26" s="290"/>
      <c r="F26" s="290" t="s">
        <v>1537</v>
      </c>
      <c r="G26" s="566">
        <v>0.8</v>
      </c>
      <c r="H26" s="477" t="s">
        <v>1015</v>
      </c>
      <c r="I26" s="475">
        <v>13190</v>
      </c>
      <c r="J26" s="500">
        <v>28.8288288288288</v>
      </c>
      <c r="K26" s="497">
        <v>0.11</v>
      </c>
      <c r="L26" s="496">
        <v>30.4201801801802</v>
      </c>
      <c r="M26" s="496">
        <v>3.34621981981982</v>
      </c>
      <c r="N26" s="498">
        <v>33.7664</v>
      </c>
      <c r="O26" s="499">
        <v>25.6</v>
      </c>
      <c r="P26" s="309"/>
      <c r="Y26" s="168"/>
    </row>
    <row r="27" ht="16.5" customHeight="1" outlineLevel="4" spans="2:25">
      <c r="B27" s="470" t="s">
        <v>1571</v>
      </c>
      <c r="C27" s="473"/>
      <c r="D27" s="476" t="s">
        <v>1928</v>
      </c>
      <c r="E27" s="290"/>
      <c r="F27" s="290" t="s">
        <v>1537</v>
      </c>
      <c r="G27" s="480">
        <v>0.2</v>
      </c>
      <c r="H27" s="477" t="s">
        <v>1015</v>
      </c>
      <c r="I27" s="475">
        <v>13190</v>
      </c>
      <c r="J27" s="500">
        <v>5.40540540540541</v>
      </c>
      <c r="K27" s="497">
        <v>0.11</v>
      </c>
      <c r="L27" s="496">
        <v>1.42594594594595</v>
      </c>
      <c r="M27" s="496">
        <v>0.156854054054054</v>
      </c>
      <c r="N27" s="498">
        <v>1.5828</v>
      </c>
      <c r="O27" s="499">
        <v>1.2</v>
      </c>
      <c r="P27" s="309"/>
      <c r="Y27" s="168"/>
    </row>
    <row r="28" ht="16.5" customHeight="1" outlineLevel="4" spans="2:25">
      <c r="B28" s="470" t="s">
        <v>1573</v>
      </c>
      <c r="C28" s="473"/>
      <c r="D28" s="476" t="s">
        <v>1574</v>
      </c>
      <c r="E28" s="290"/>
      <c r="F28" s="290" t="s">
        <v>1537</v>
      </c>
      <c r="G28" s="480">
        <v>0.9</v>
      </c>
      <c r="H28" s="477" t="s">
        <v>1015</v>
      </c>
      <c r="I28" s="475">
        <v>13190</v>
      </c>
      <c r="J28" s="500">
        <v>18</v>
      </c>
      <c r="K28" s="497">
        <v>0.11</v>
      </c>
      <c r="L28" s="496">
        <v>21.3678</v>
      </c>
      <c r="M28" s="496">
        <v>2.350458</v>
      </c>
      <c r="N28" s="498">
        <v>23.718258</v>
      </c>
      <c r="O28" s="499">
        <v>17.982</v>
      </c>
      <c r="P28" s="309"/>
      <c r="Y28" s="168"/>
    </row>
    <row r="29" ht="16.5" customHeight="1" outlineLevel="3" spans="2:25">
      <c r="B29" s="470" t="s">
        <v>1575</v>
      </c>
      <c r="C29" s="473" t="s">
        <v>622</v>
      </c>
      <c r="D29" s="470" t="s">
        <v>1576</v>
      </c>
      <c r="E29" s="290" t="s">
        <v>1356</v>
      </c>
      <c r="F29" s="290" t="s">
        <v>1537</v>
      </c>
      <c r="G29" s="478"/>
      <c r="H29" s="477" t="s">
        <v>655</v>
      </c>
      <c r="I29" s="475">
        <v>13190</v>
      </c>
      <c r="J29" s="200">
        <v>2.76923076923077</v>
      </c>
      <c r="K29" s="497">
        <v>0.17</v>
      </c>
      <c r="L29" s="496">
        <v>0</v>
      </c>
      <c r="M29" s="496">
        <v>0</v>
      </c>
      <c r="N29" s="498">
        <v>0</v>
      </c>
      <c r="O29" s="499">
        <v>0</v>
      </c>
      <c r="P29" s="236"/>
      <c r="Y29" s="168"/>
    </row>
    <row r="30" ht="16.5" customHeight="1" outlineLevel="3" spans="2:25">
      <c r="B30" s="470" t="s">
        <v>1577</v>
      </c>
      <c r="C30" s="473" t="s">
        <v>622</v>
      </c>
      <c r="D30" s="470" t="s">
        <v>1578</v>
      </c>
      <c r="E30" s="479" t="s">
        <v>774</v>
      </c>
      <c r="F30" s="479"/>
      <c r="G30" s="478"/>
      <c r="H30" s="477"/>
      <c r="I30" s="200"/>
      <c r="J30" s="200">
        <v>0</v>
      </c>
      <c r="K30" s="41"/>
      <c r="L30" s="498">
        <v>4.576</v>
      </c>
      <c r="M30" s="498">
        <v>0.50336</v>
      </c>
      <c r="N30" s="498">
        <v>5.07936</v>
      </c>
      <c r="O30" s="499">
        <v>3.8509173616376</v>
      </c>
      <c r="P30" s="236"/>
      <c r="Y30" s="168"/>
    </row>
    <row r="31" ht="16.5" customHeight="1" outlineLevel="4" spans="2:25">
      <c r="B31" s="470" t="s">
        <v>1579</v>
      </c>
      <c r="C31" s="473"/>
      <c r="D31" s="476" t="s">
        <v>1580</v>
      </c>
      <c r="E31" s="290"/>
      <c r="F31" s="290" t="s">
        <v>862</v>
      </c>
      <c r="G31" s="478">
        <v>1.3</v>
      </c>
      <c r="H31" s="477" t="s">
        <v>1015</v>
      </c>
      <c r="I31" s="475">
        <v>1300</v>
      </c>
      <c r="J31" s="200">
        <v>14</v>
      </c>
      <c r="K31" s="497">
        <v>0.11</v>
      </c>
      <c r="L31" s="496">
        <v>2.366</v>
      </c>
      <c r="M31" s="496">
        <v>0.26026</v>
      </c>
      <c r="N31" s="498">
        <v>2.62626</v>
      </c>
      <c r="O31" s="499">
        <v>1.9910993176649</v>
      </c>
      <c r="P31" s="236"/>
      <c r="Y31" s="168"/>
    </row>
    <row r="32" ht="16.5" customHeight="1" outlineLevel="4" spans="2:25">
      <c r="B32" s="470" t="s">
        <v>1581</v>
      </c>
      <c r="C32" s="473"/>
      <c r="D32" s="476" t="s">
        <v>1582</v>
      </c>
      <c r="E32" s="290" t="s">
        <v>1941</v>
      </c>
      <c r="F32" s="290" t="s">
        <v>601</v>
      </c>
      <c r="G32" s="478">
        <v>100</v>
      </c>
      <c r="H32" s="477" t="s">
        <v>1015</v>
      </c>
      <c r="I32" s="560">
        <v>13</v>
      </c>
      <c r="J32" s="200">
        <v>17</v>
      </c>
      <c r="K32" s="497">
        <v>0.11</v>
      </c>
      <c r="L32" s="496">
        <v>2.21</v>
      </c>
      <c r="M32" s="496">
        <v>0.2431</v>
      </c>
      <c r="N32" s="498">
        <v>2.4531</v>
      </c>
      <c r="O32" s="499">
        <v>1.85981804397271</v>
      </c>
      <c r="P32" s="236"/>
      <c r="Y32" s="168"/>
    </row>
    <row r="33" ht="16.5" customHeight="1" outlineLevel="3" spans="2:25">
      <c r="B33" s="470" t="s">
        <v>1583</v>
      </c>
      <c r="C33" s="473" t="s">
        <v>622</v>
      </c>
      <c r="D33" s="470" t="s">
        <v>1584</v>
      </c>
      <c r="E33" s="479" t="s">
        <v>1357</v>
      </c>
      <c r="F33" s="479"/>
      <c r="G33" s="478"/>
      <c r="H33" s="477"/>
      <c r="I33" s="200"/>
      <c r="J33" s="200"/>
      <c r="K33" s="41"/>
      <c r="L33" s="498">
        <v>12.7765588428665</v>
      </c>
      <c r="M33" s="498">
        <v>2.17201500328731</v>
      </c>
      <c r="N33" s="498">
        <v>14.9485738461538</v>
      </c>
      <c r="O33" s="499">
        <v>11.333262961451</v>
      </c>
      <c r="P33" s="236"/>
      <c r="Y33" s="168"/>
    </row>
    <row r="34" ht="16.5" customHeight="1" outlineLevel="4" spans="2:25">
      <c r="B34" s="470" t="s">
        <v>1585</v>
      </c>
      <c r="C34" s="473"/>
      <c r="D34" s="476" t="s">
        <v>1586</v>
      </c>
      <c r="E34" s="290"/>
      <c r="F34" s="290" t="s">
        <v>862</v>
      </c>
      <c r="G34" s="478">
        <v>1.3</v>
      </c>
      <c r="H34" s="477" t="s">
        <v>1015</v>
      </c>
      <c r="I34" s="475">
        <v>1300</v>
      </c>
      <c r="J34" s="200">
        <v>54</v>
      </c>
      <c r="K34" s="497">
        <v>0.17</v>
      </c>
      <c r="L34" s="496">
        <v>9.126</v>
      </c>
      <c r="M34" s="496">
        <v>1.55142</v>
      </c>
      <c r="N34" s="498">
        <v>10.67742</v>
      </c>
      <c r="O34" s="499">
        <v>8.09508718726308</v>
      </c>
      <c r="P34" s="236"/>
      <c r="Y34" s="168"/>
    </row>
    <row r="35" ht="16.5" customHeight="1" outlineLevel="4" spans="2:25">
      <c r="B35" s="470" t="s">
        <v>1587</v>
      </c>
      <c r="C35" s="473"/>
      <c r="D35" s="476" t="s">
        <v>1588</v>
      </c>
      <c r="E35" s="290" t="s">
        <v>1941</v>
      </c>
      <c r="F35" s="290" t="s">
        <v>601</v>
      </c>
      <c r="G35" s="478">
        <v>100</v>
      </c>
      <c r="H35" s="477" t="s">
        <v>1015</v>
      </c>
      <c r="I35" s="560">
        <v>13</v>
      </c>
      <c r="J35" s="200">
        <v>4.27350427350427</v>
      </c>
      <c r="K35" s="497">
        <v>0.17</v>
      </c>
      <c r="L35" s="496">
        <v>0.555555555555556</v>
      </c>
      <c r="M35" s="496">
        <v>0.0944444444444445</v>
      </c>
      <c r="N35" s="498">
        <v>0.65</v>
      </c>
      <c r="O35" s="499">
        <v>0.492797573919636</v>
      </c>
      <c r="P35" s="236"/>
      <c r="Y35" s="168"/>
    </row>
    <row r="36" ht="16.5" customHeight="1" outlineLevel="4" spans="2:25">
      <c r="B36" s="470" t="s">
        <v>1589</v>
      </c>
      <c r="C36" s="473"/>
      <c r="D36" s="476" t="s">
        <v>1929</v>
      </c>
      <c r="E36" s="290" t="s">
        <v>1942</v>
      </c>
      <c r="F36" s="290" t="s">
        <v>601</v>
      </c>
      <c r="G36" s="255">
        <v>12</v>
      </c>
      <c r="H36" s="477" t="s">
        <v>1015</v>
      </c>
      <c r="I36" s="560">
        <v>134.615384615385</v>
      </c>
      <c r="J36" s="200">
        <v>6.83760683760684</v>
      </c>
      <c r="K36" s="497">
        <v>0.17</v>
      </c>
      <c r="L36" s="496">
        <v>1.10453648915187</v>
      </c>
      <c r="M36" s="496">
        <v>0.187771203155819</v>
      </c>
      <c r="N36" s="498">
        <v>1.29230769230769</v>
      </c>
      <c r="O36" s="499">
        <v>0.979763223887561</v>
      </c>
      <c r="P36" s="236"/>
      <c r="Y36" s="168"/>
    </row>
    <row r="37" ht="16.5" customHeight="1" outlineLevel="4" spans="2:25">
      <c r="B37" s="470" t="s">
        <v>1591</v>
      </c>
      <c r="C37" s="473"/>
      <c r="D37" s="476" t="s">
        <v>1930</v>
      </c>
      <c r="E37" s="290" t="s">
        <v>1942</v>
      </c>
      <c r="F37" s="290" t="s">
        <v>601</v>
      </c>
      <c r="G37" s="255">
        <v>5</v>
      </c>
      <c r="H37" s="477" t="s">
        <v>1015</v>
      </c>
      <c r="I37" s="560">
        <v>134.615384615385</v>
      </c>
      <c r="J37" s="475">
        <v>21.3675213675214</v>
      </c>
      <c r="K37" s="497">
        <v>0.17</v>
      </c>
      <c r="L37" s="496">
        <v>1.43819855358317</v>
      </c>
      <c r="M37" s="496">
        <v>0.244493754109139</v>
      </c>
      <c r="N37" s="498">
        <v>1.68269230769231</v>
      </c>
      <c r="O37" s="499">
        <v>1.27573336443693</v>
      </c>
      <c r="P37" s="236"/>
      <c r="Y37" s="168"/>
    </row>
    <row r="38" ht="16.5" customHeight="1" outlineLevel="4" spans="2:25">
      <c r="B38" s="470" t="s">
        <v>1593</v>
      </c>
      <c r="C38" s="473"/>
      <c r="D38" s="476" t="s">
        <v>1931</v>
      </c>
      <c r="E38" s="290" t="s">
        <v>1942</v>
      </c>
      <c r="F38" s="290" t="s">
        <v>601</v>
      </c>
      <c r="G38" s="255">
        <v>6</v>
      </c>
      <c r="H38" s="477" t="s">
        <v>1015</v>
      </c>
      <c r="I38" s="560">
        <v>134.615384615385</v>
      </c>
      <c r="J38" s="200">
        <v>6.83760683760684</v>
      </c>
      <c r="K38" s="497">
        <v>0.17</v>
      </c>
      <c r="L38" s="496">
        <v>0.552268244575937</v>
      </c>
      <c r="M38" s="496">
        <v>0.0938856015779093</v>
      </c>
      <c r="N38" s="498">
        <v>0.646153846153846</v>
      </c>
      <c r="O38" s="499">
        <v>0.48988161194378</v>
      </c>
      <c r="P38" s="236"/>
      <c r="Y38" s="168"/>
    </row>
    <row r="39" ht="16.5" customHeight="1" outlineLevel="3" spans="2:25">
      <c r="B39" s="470" t="s">
        <v>1595</v>
      </c>
      <c r="C39" s="473" t="s">
        <v>622</v>
      </c>
      <c r="D39" s="470" t="s">
        <v>1596</v>
      </c>
      <c r="E39" s="479" t="s">
        <v>1358</v>
      </c>
      <c r="F39" s="479"/>
      <c r="G39" s="478"/>
      <c r="H39" s="477"/>
      <c r="I39" s="200"/>
      <c r="J39" s="200"/>
      <c r="K39" s="41"/>
      <c r="L39" s="498">
        <v>7.05475571725572</v>
      </c>
      <c r="M39" s="498">
        <v>0.776023128898129</v>
      </c>
      <c r="N39" s="498">
        <v>7.83077884615385</v>
      </c>
      <c r="O39" s="499">
        <v>5.93690587274742</v>
      </c>
      <c r="P39" s="236"/>
      <c r="Y39" s="168"/>
    </row>
    <row r="40" ht="16.5" customHeight="1" outlineLevel="4" spans="2:25">
      <c r="B40" s="470" t="s">
        <v>1597</v>
      </c>
      <c r="C40" s="473"/>
      <c r="D40" s="476" t="s">
        <v>1932</v>
      </c>
      <c r="E40" s="290" t="s">
        <v>1942</v>
      </c>
      <c r="F40" s="290" t="s">
        <v>601</v>
      </c>
      <c r="G40" s="255">
        <v>12</v>
      </c>
      <c r="H40" s="477" t="s">
        <v>1015</v>
      </c>
      <c r="I40" s="560">
        <v>134.615384615385</v>
      </c>
      <c r="J40" s="200">
        <v>16.1981981981982</v>
      </c>
      <c r="K40" s="497">
        <v>0.11</v>
      </c>
      <c r="L40" s="496">
        <v>2.61663201663202</v>
      </c>
      <c r="M40" s="496">
        <v>0.287829521829522</v>
      </c>
      <c r="N40" s="498">
        <v>2.90446153846154</v>
      </c>
      <c r="O40" s="499">
        <v>2.20201784568729</v>
      </c>
      <c r="P40" s="236"/>
      <c r="Y40" s="168"/>
    </row>
    <row r="41" ht="16.5" customHeight="1" outlineLevel="4" spans="2:25">
      <c r="B41" s="470" t="s">
        <v>1599</v>
      </c>
      <c r="C41" s="473"/>
      <c r="D41" s="476" t="s">
        <v>1933</v>
      </c>
      <c r="E41" s="290" t="s">
        <v>1942</v>
      </c>
      <c r="F41" s="290" t="s">
        <v>601</v>
      </c>
      <c r="G41" s="255">
        <v>5</v>
      </c>
      <c r="H41" s="477" t="s">
        <v>1015</v>
      </c>
      <c r="I41" s="560">
        <v>134.615384615385</v>
      </c>
      <c r="J41" s="475">
        <v>46.5</v>
      </c>
      <c r="K41" s="497">
        <v>0.11</v>
      </c>
      <c r="L41" s="496">
        <v>3.12980769230769</v>
      </c>
      <c r="M41" s="496">
        <v>0.344278846153846</v>
      </c>
      <c r="N41" s="498">
        <v>3.47408653846154</v>
      </c>
      <c r="O41" s="499">
        <v>2.63387910421648</v>
      </c>
      <c r="P41" s="236"/>
      <c r="Y41" s="168"/>
    </row>
    <row r="42" ht="16.5" customHeight="1" outlineLevel="4" spans="2:25">
      <c r="B42" s="470" t="s">
        <v>1601</v>
      </c>
      <c r="C42" s="473"/>
      <c r="D42" s="476" t="s">
        <v>1934</v>
      </c>
      <c r="E42" s="290" t="s">
        <v>1942</v>
      </c>
      <c r="F42" s="290" t="s">
        <v>601</v>
      </c>
      <c r="G42" s="255">
        <v>6</v>
      </c>
      <c r="H42" s="477" t="s">
        <v>1015</v>
      </c>
      <c r="I42" s="560">
        <v>134.615384615385</v>
      </c>
      <c r="J42" s="200">
        <v>16.1981981981982</v>
      </c>
      <c r="K42" s="497">
        <v>0.11</v>
      </c>
      <c r="L42" s="496">
        <v>1.30831600831601</v>
      </c>
      <c r="M42" s="496">
        <v>0.143914760914761</v>
      </c>
      <c r="N42" s="498">
        <v>1.45223076923077</v>
      </c>
      <c r="O42" s="499">
        <v>1.10100892284365</v>
      </c>
      <c r="P42" s="236"/>
      <c r="Y42" s="168"/>
    </row>
    <row r="43" ht="16.5" customHeight="1" outlineLevel="3" spans="2:25">
      <c r="B43" s="470" t="s">
        <v>1603</v>
      </c>
      <c r="C43" s="473" t="s">
        <v>622</v>
      </c>
      <c r="D43" s="470" t="s">
        <v>1604</v>
      </c>
      <c r="E43" s="290" t="s">
        <v>774</v>
      </c>
      <c r="F43" s="290" t="s">
        <v>1537</v>
      </c>
      <c r="G43" s="478"/>
      <c r="H43" s="477"/>
      <c r="I43" s="475"/>
      <c r="J43" s="200">
        <v>0</v>
      </c>
      <c r="K43" s="497"/>
      <c r="L43" s="498">
        <v>244.72726</v>
      </c>
      <c r="M43" s="498">
        <v>26.9199986</v>
      </c>
      <c r="N43" s="498">
        <v>271.6472586</v>
      </c>
      <c r="O43" s="499">
        <v>205.9494</v>
      </c>
      <c r="P43" s="236"/>
      <c r="Y43" s="168"/>
    </row>
    <row r="44" ht="16.5" customHeight="1" outlineLevel="4" spans="2:25">
      <c r="B44" s="470" t="s">
        <v>1605</v>
      </c>
      <c r="C44" s="473"/>
      <c r="D44" s="476" t="s">
        <v>1935</v>
      </c>
      <c r="E44" s="290"/>
      <c r="F44" s="290" t="s">
        <v>1537</v>
      </c>
      <c r="G44" s="478">
        <v>1</v>
      </c>
      <c r="H44" s="477" t="s">
        <v>1015</v>
      </c>
      <c r="I44" s="475">
        <v>13190</v>
      </c>
      <c r="J44" s="200">
        <v>40.54</v>
      </c>
      <c r="K44" s="497">
        <v>0.11</v>
      </c>
      <c r="L44" s="496">
        <v>53.47226</v>
      </c>
      <c r="M44" s="496">
        <v>5.8819486</v>
      </c>
      <c r="N44" s="498">
        <v>59.3542086</v>
      </c>
      <c r="O44" s="499">
        <v>44.9994</v>
      </c>
      <c r="P44" s="236"/>
      <c r="Y44" s="168"/>
    </row>
    <row r="45" ht="16.5" customHeight="1" outlineLevel="4" spans="2:25">
      <c r="B45" s="470" t="s">
        <v>1607</v>
      </c>
      <c r="C45" s="473"/>
      <c r="D45" s="476" t="s">
        <v>1936</v>
      </c>
      <c r="E45" s="290"/>
      <c r="F45" s="290" t="s">
        <v>1537</v>
      </c>
      <c r="G45" s="478"/>
      <c r="H45" s="477" t="s">
        <v>1015</v>
      </c>
      <c r="I45" s="475">
        <v>13190</v>
      </c>
      <c r="J45" s="200">
        <v>9.00900900900901</v>
      </c>
      <c r="K45" s="497">
        <v>0.11</v>
      </c>
      <c r="L45" s="496">
        <v>0</v>
      </c>
      <c r="M45" s="496">
        <v>0</v>
      </c>
      <c r="N45" s="498">
        <v>0</v>
      </c>
      <c r="O45" s="499">
        <v>0</v>
      </c>
      <c r="P45" s="236"/>
      <c r="Y45" s="168"/>
    </row>
    <row r="46" ht="16.5" customHeight="1" outlineLevel="4" spans="2:25">
      <c r="B46" s="470" t="s">
        <v>1609</v>
      </c>
      <c r="C46" s="473"/>
      <c r="D46" s="476" t="s">
        <v>1937</v>
      </c>
      <c r="E46" s="290"/>
      <c r="F46" s="290" t="s">
        <v>1537</v>
      </c>
      <c r="G46" s="478"/>
      <c r="H46" s="477" t="s">
        <v>1015</v>
      </c>
      <c r="I46" s="475">
        <v>13190</v>
      </c>
      <c r="J46" s="200">
        <v>34.2342342342342</v>
      </c>
      <c r="K46" s="497">
        <v>0.11</v>
      </c>
      <c r="L46" s="496">
        <v>0</v>
      </c>
      <c r="M46" s="496">
        <v>0</v>
      </c>
      <c r="N46" s="498">
        <v>0</v>
      </c>
      <c r="O46" s="499">
        <v>0</v>
      </c>
      <c r="P46" s="236"/>
      <c r="Y46" s="168"/>
    </row>
    <row r="47" ht="16.5" customHeight="1" outlineLevel="4" spans="2:25">
      <c r="B47" s="470" t="s">
        <v>1611</v>
      </c>
      <c r="C47" s="473"/>
      <c r="D47" s="476" t="s">
        <v>1938</v>
      </c>
      <c r="E47" s="290"/>
      <c r="F47" s="290" t="s">
        <v>1537</v>
      </c>
      <c r="G47" s="478"/>
      <c r="H47" s="477" t="s">
        <v>1015</v>
      </c>
      <c r="I47" s="475">
        <v>13190</v>
      </c>
      <c r="J47" s="200">
        <v>39.6396396396396</v>
      </c>
      <c r="K47" s="497">
        <v>0.11</v>
      </c>
      <c r="L47" s="496">
        <v>0</v>
      </c>
      <c r="M47" s="496">
        <v>0</v>
      </c>
      <c r="N47" s="498">
        <v>0</v>
      </c>
      <c r="O47" s="499">
        <v>0</v>
      </c>
      <c r="P47" s="236"/>
      <c r="Y47" s="168"/>
    </row>
    <row r="48" ht="16.5" customHeight="1" outlineLevel="4" spans="2:25">
      <c r="B48" s="470" t="s">
        <v>1613</v>
      </c>
      <c r="C48" s="473"/>
      <c r="D48" s="476" t="s">
        <v>1614</v>
      </c>
      <c r="E48" s="290"/>
      <c r="F48" s="290" t="s">
        <v>1537</v>
      </c>
      <c r="G48" s="478">
        <v>1</v>
      </c>
      <c r="H48" s="477" t="s">
        <v>1015</v>
      </c>
      <c r="I48" s="475">
        <v>13190</v>
      </c>
      <c r="J48" s="200">
        <v>145</v>
      </c>
      <c r="K48" s="497">
        <v>0.11</v>
      </c>
      <c r="L48" s="496">
        <v>191.255</v>
      </c>
      <c r="M48" s="496">
        <v>21.03805</v>
      </c>
      <c r="N48" s="498">
        <v>212.29305</v>
      </c>
      <c r="O48" s="499">
        <v>160.95</v>
      </c>
      <c r="P48" s="236"/>
      <c r="Y48" s="168"/>
    </row>
    <row r="49" ht="16.5" customHeight="1" outlineLevel="3" spans="2:25">
      <c r="B49" s="470" t="s">
        <v>1615</v>
      </c>
      <c r="C49" s="473" t="s">
        <v>622</v>
      </c>
      <c r="D49" s="470" t="s">
        <v>1616</v>
      </c>
      <c r="E49" s="479" t="s">
        <v>774</v>
      </c>
      <c r="F49" s="479"/>
      <c r="G49" s="478"/>
      <c r="H49" s="477"/>
      <c r="I49" s="475"/>
      <c r="J49" s="200">
        <v>0</v>
      </c>
      <c r="K49" s="497"/>
      <c r="L49" s="498">
        <v>80.8180144144144</v>
      </c>
      <c r="M49" s="498">
        <v>8.88998158558559</v>
      </c>
      <c r="N49" s="498">
        <v>89.707996</v>
      </c>
      <c r="O49" s="499">
        <v>68.0121273692191</v>
      </c>
      <c r="P49" s="236"/>
      <c r="Y49" s="168"/>
    </row>
    <row r="50" ht="16.5" customHeight="1" outlineLevel="4" spans="2:25">
      <c r="B50" s="470" t="s">
        <v>1617</v>
      </c>
      <c r="C50" s="473"/>
      <c r="D50" s="476" t="s">
        <v>1618</v>
      </c>
      <c r="E50" s="290"/>
      <c r="F50" s="290" t="s">
        <v>1537</v>
      </c>
      <c r="G50" s="478">
        <v>0.8</v>
      </c>
      <c r="H50" s="477" t="s">
        <v>1015</v>
      </c>
      <c r="I50" s="475">
        <v>13190</v>
      </c>
      <c r="J50" s="475">
        <v>58.5585585585586</v>
      </c>
      <c r="K50" s="497">
        <v>0.11</v>
      </c>
      <c r="L50" s="496">
        <v>61.790990990991</v>
      </c>
      <c r="M50" s="496">
        <v>6.79700900900901</v>
      </c>
      <c r="N50" s="498">
        <v>68.588</v>
      </c>
      <c r="O50" s="499">
        <v>52</v>
      </c>
      <c r="P50" s="236"/>
      <c r="Y50" s="168"/>
    </row>
    <row r="51" ht="16.5" customHeight="1" outlineLevel="4" spans="2:25">
      <c r="B51" s="470" t="s">
        <v>1619</v>
      </c>
      <c r="C51" s="473"/>
      <c r="D51" s="476" t="s">
        <v>1620</v>
      </c>
      <c r="E51" s="290"/>
      <c r="F51" s="479" t="s">
        <v>862</v>
      </c>
      <c r="G51" s="478">
        <v>1</v>
      </c>
      <c r="H51" s="477" t="s">
        <v>1015</v>
      </c>
      <c r="I51" s="475">
        <v>1300</v>
      </c>
      <c r="J51" s="475">
        <v>19.8198198198198</v>
      </c>
      <c r="K51" s="497">
        <v>0.11</v>
      </c>
      <c r="L51" s="496">
        <v>2.57657657657658</v>
      </c>
      <c r="M51" s="496">
        <v>0.283423423423423</v>
      </c>
      <c r="N51" s="498">
        <v>2.86</v>
      </c>
      <c r="O51" s="499">
        <v>2.1683093252464</v>
      </c>
      <c r="P51" s="236"/>
      <c r="Y51" s="168"/>
    </row>
    <row r="52" ht="16.5" customHeight="1" outlineLevel="4" spans="2:25">
      <c r="B52" s="470" t="s">
        <v>1621</v>
      </c>
      <c r="C52" s="473"/>
      <c r="D52" s="476" t="s">
        <v>1622</v>
      </c>
      <c r="E52" s="290"/>
      <c r="F52" s="290" t="s">
        <v>1537</v>
      </c>
      <c r="G52" s="478">
        <v>0.8</v>
      </c>
      <c r="H52" s="477" t="s">
        <v>1015</v>
      </c>
      <c r="I52" s="475">
        <v>13190</v>
      </c>
      <c r="J52" s="475">
        <v>13.4954954954955</v>
      </c>
      <c r="K52" s="497">
        <v>0.11</v>
      </c>
      <c r="L52" s="496">
        <v>14.2404468468468</v>
      </c>
      <c r="M52" s="496">
        <v>1.56644915315315</v>
      </c>
      <c r="N52" s="498">
        <v>15.806896</v>
      </c>
      <c r="O52" s="499">
        <v>11.984</v>
      </c>
      <c r="P52" s="236"/>
      <c r="Y52" s="168"/>
    </row>
    <row r="53" ht="16.5" customHeight="1" outlineLevel="4" spans="2:25">
      <c r="B53" s="470" t="s">
        <v>1623</v>
      </c>
      <c r="C53" s="473"/>
      <c r="D53" s="476" t="s">
        <v>1624</v>
      </c>
      <c r="E53" s="479"/>
      <c r="F53" s="479" t="s">
        <v>862</v>
      </c>
      <c r="G53" s="478">
        <v>1</v>
      </c>
      <c r="H53" s="477" t="s">
        <v>655</v>
      </c>
      <c r="I53" s="475">
        <v>1300</v>
      </c>
      <c r="J53" s="475">
        <v>17</v>
      </c>
      <c r="K53" s="497">
        <v>0.11</v>
      </c>
      <c r="L53" s="496">
        <v>2.21</v>
      </c>
      <c r="M53" s="496">
        <v>0.2431</v>
      </c>
      <c r="N53" s="498">
        <v>2.4531</v>
      </c>
      <c r="O53" s="499">
        <v>1.85981804397271</v>
      </c>
      <c r="P53" s="236"/>
      <c r="Y53" s="168"/>
    </row>
    <row r="54" ht="16.5" customHeight="1" outlineLevel="3" spans="2:25">
      <c r="B54" s="470" t="s">
        <v>1625</v>
      </c>
      <c r="C54" s="473" t="s">
        <v>622</v>
      </c>
      <c r="D54" s="470" t="s">
        <v>1626</v>
      </c>
      <c r="E54" s="479" t="s">
        <v>774</v>
      </c>
      <c r="F54" s="479"/>
      <c r="G54" s="478"/>
      <c r="H54" s="477"/>
      <c r="I54" s="200"/>
      <c r="J54" s="200">
        <v>0</v>
      </c>
      <c r="K54" s="41"/>
      <c r="L54" s="498">
        <v>10.4</v>
      </c>
      <c r="M54" s="498">
        <v>1.768</v>
      </c>
      <c r="N54" s="498">
        <v>12.168</v>
      </c>
      <c r="O54" s="499">
        <v>9.22517058377559</v>
      </c>
      <c r="P54" s="236"/>
      <c r="Y54" s="168"/>
    </row>
    <row r="55" ht="16.5" customHeight="1" outlineLevel="4" spans="2:25">
      <c r="B55" s="470" t="s">
        <v>1627</v>
      </c>
      <c r="C55" s="473"/>
      <c r="D55" s="476" t="s">
        <v>1628</v>
      </c>
      <c r="E55" s="290"/>
      <c r="F55" s="290" t="s">
        <v>1537</v>
      </c>
      <c r="G55" s="478"/>
      <c r="H55" s="477" t="s">
        <v>1015</v>
      </c>
      <c r="I55" s="475">
        <v>13190</v>
      </c>
      <c r="J55" s="200">
        <v>43</v>
      </c>
      <c r="K55" s="497">
        <v>0.17</v>
      </c>
      <c r="L55" s="496">
        <v>0</v>
      </c>
      <c r="M55" s="496">
        <v>0</v>
      </c>
      <c r="N55" s="498">
        <v>0</v>
      </c>
      <c r="O55" s="499">
        <v>0</v>
      </c>
      <c r="P55" s="236"/>
      <c r="Y55" s="168"/>
    </row>
    <row r="56" ht="16.5" customHeight="1" outlineLevel="4" spans="2:25">
      <c r="B56" s="470" t="s">
        <v>1629</v>
      </c>
      <c r="C56" s="473"/>
      <c r="D56" s="476" t="s">
        <v>1630</v>
      </c>
      <c r="E56" s="290"/>
      <c r="F56" s="479" t="s">
        <v>862</v>
      </c>
      <c r="G56" s="478">
        <v>1</v>
      </c>
      <c r="H56" s="477" t="s">
        <v>1015</v>
      </c>
      <c r="I56" s="475">
        <v>1300</v>
      </c>
      <c r="J56" s="475">
        <v>45</v>
      </c>
      <c r="K56" s="497">
        <v>0.17</v>
      </c>
      <c r="L56" s="496">
        <v>5.85</v>
      </c>
      <c r="M56" s="496">
        <v>0.9945</v>
      </c>
      <c r="N56" s="498">
        <v>6.8445</v>
      </c>
      <c r="O56" s="499">
        <v>5.18915845337377</v>
      </c>
      <c r="P56" s="236"/>
      <c r="Y56" s="168"/>
    </row>
    <row r="57" ht="16.5" customHeight="1" outlineLevel="4" spans="2:25">
      <c r="B57" s="470" t="s">
        <v>1631</v>
      </c>
      <c r="C57" s="473"/>
      <c r="D57" s="476" t="s">
        <v>1632</v>
      </c>
      <c r="E57" s="290"/>
      <c r="F57" s="290" t="s">
        <v>1537</v>
      </c>
      <c r="G57" s="478"/>
      <c r="H57" s="477" t="s">
        <v>1015</v>
      </c>
      <c r="I57" s="475">
        <v>13190</v>
      </c>
      <c r="J57" s="475">
        <v>0</v>
      </c>
      <c r="K57" s="497">
        <v>0.17</v>
      </c>
      <c r="L57" s="496">
        <v>0</v>
      </c>
      <c r="M57" s="496">
        <v>0</v>
      </c>
      <c r="N57" s="498">
        <v>0</v>
      </c>
      <c r="O57" s="499">
        <v>0</v>
      </c>
      <c r="P57" s="236"/>
      <c r="Y57" s="168"/>
    </row>
    <row r="58" ht="16.5" customHeight="1" outlineLevel="4" spans="2:25">
      <c r="B58" s="470" t="s">
        <v>1633</v>
      </c>
      <c r="C58" s="473"/>
      <c r="D58" s="476" t="s">
        <v>1634</v>
      </c>
      <c r="E58" s="479"/>
      <c r="F58" s="479" t="s">
        <v>862</v>
      </c>
      <c r="G58" s="478">
        <v>1</v>
      </c>
      <c r="H58" s="477" t="s">
        <v>655</v>
      </c>
      <c r="I58" s="475">
        <v>1300</v>
      </c>
      <c r="J58" s="475">
        <v>35</v>
      </c>
      <c r="K58" s="497">
        <v>0.17</v>
      </c>
      <c r="L58" s="496">
        <v>4.55</v>
      </c>
      <c r="M58" s="496">
        <v>0.7735</v>
      </c>
      <c r="N58" s="498">
        <v>5.3235</v>
      </c>
      <c r="O58" s="499">
        <v>4.03601213040182</v>
      </c>
      <c r="P58" s="236"/>
      <c r="Y58" s="168"/>
    </row>
    <row r="59" ht="16.5" customHeight="1" outlineLevel="3" spans="2:25">
      <c r="B59" s="470" t="s">
        <v>1635</v>
      </c>
      <c r="C59" s="473" t="s">
        <v>622</v>
      </c>
      <c r="D59" s="470" t="s">
        <v>1636</v>
      </c>
      <c r="E59" s="479" t="s">
        <v>774</v>
      </c>
      <c r="F59" s="479" t="s">
        <v>601</v>
      </c>
      <c r="G59" s="478">
        <v>3.6</v>
      </c>
      <c r="H59" s="477" t="s">
        <v>1637</v>
      </c>
      <c r="I59" s="560">
        <v>26</v>
      </c>
      <c r="J59" s="200">
        <v>100</v>
      </c>
      <c r="K59" s="41">
        <v>0.11</v>
      </c>
      <c r="L59" s="496">
        <v>0.936</v>
      </c>
      <c r="M59" s="496">
        <v>0.10296</v>
      </c>
      <c r="N59" s="498">
        <v>1.03896</v>
      </c>
      <c r="O59" s="499">
        <v>0.787687642153146</v>
      </c>
      <c r="P59" s="236"/>
      <c r="Y59" s="168"/>
    </row>
    <row r="60" ht="16.5" customHeight="1" outlineLevel="3" spans="2:25">
      <c r="B60" s="470" t="s">
        <v>1638</v>
      </c>
      <c r="C60" s="473" t="s">
        <v>622</v>
      </c>
      <c r="D60" s="470" t="s">
        <v>1639</v>
      </c>
      <c r="E60" s="290" t="s">
        <v>774</v>
      </c>
      <c r="F60" s="290" t="s">
        <v>1537</v>
      </c>
      <c r="G60" s="478">
        <v>1</v>
      </c>
      <c r="H60" s="477" t="s">
        <v>655</v>
      </c>
      <c r="I60" s="475">
        <v>13190</v>
      </c>
      <c r="J60" s="200">
        <v>18</v>
      </c>
      <c r="K60" s="497">
        <v>0.11</v>
      </c>
      <c r="L60" s="496">
        <v>23.742</v>
      </c>
      <c r="M60" s="496">
        <v>2.61162</v>
      </c>
      <c r="N60" s="498">
        <v>26.35362</v>
      </c>
      <c r="O60" s="499">
        <v>19.98</v>
      </c>
      <c r="P60" s="236"/>
      <c r="Y60" s="168"/>
    </row>
    <row r="61" ht="16.5" customHeight="1" outlineLevel="3" spans="2:25">
      <c r="B61" s="470" t="s">
        <v>1640</v>
      </c>
      <c r="C61" s="473" t="s">
        <v>622</v>
      </c>
      <c r="D61" s="470" t="s">
        <v>1641</v>
      </c>
      <c r="E61" s="479" t="s">
        <v>774</v>
      </c>
      <c r="F61" s="479"/>
      <c r="G61" s="478"/>
      <c r="H61" s="477"/>
      <c r="I61" s="200"/>
      <c r="J61" s="200">
        <v>0</v>
      </c>
      <c r="K61" s="41">
        <v>0.11</v>
      </c>
      <c r="L61" s="496">
        <v>0</v>
      </c>
      <c r="M61" s="496">
        <v>0</v>
      </c>
      <c r="N61" s="498">
        <v>0</v>
      </c>
      <c r="O61" s="499">
        <v>0</v>
      </c>
      <c r="P61" s="236"/>
      <c r="Y61" s="168"/>
    </row>
    <row r="62" ht="20.25" customHeight="1" outlineLevel="3" spans="2:25">
      <c r="B62" s="470" t="s">
        <v>1642</v>
      </c>
      <c r="C62" s="473" t="s">
        <v>622</v>
      </c>
      <c r="D62" s="470" t="s">
        <v>1643</v>
      </c>
      <c r="E62" s="479" t="s">
        <v>774</v>
      </c>
      <c r="F62" s="479"/>
      <c r="G62" s="478"/>
      <c r="H62" s="477"/>
      <c r="I62" s="200"/>
      <c r="J62" s="200">
        <v>0</v>
      </c>
      <c r="K62" s="41"/>
      <c r="L62" s="498">
        <v>0</v>
      </c>
      <c r="M62" s="498">
        <v>0</v>
      </c>
      <c r="N62" s="498">
        <v>0</v>
      </c>
      <c r="O62" s="499">
        <v>0</v>
      </c>
      <c r="P62" s="236"/>
      <c r="Y62" s="168"/>
    </row>
    <row r="63" ht="18" customHeight="1" outlineLevel="4" spans="2:25">
      <c r="B63" s="470" t="s">
        <v>1644</v>
      </c>
      <c r="C63" s="473"/>
      <c r="D63" s="476" t="s">
        <v>1645</v>
      </c>
      <c r="E63" s="479"/>
      <c r="F63" s="479" t="s">
        <v>505</v>
      </c>
      <c r="G63" s="478"/>
      <c r="H63" s="477" t="s">
        <v>655</v>
      </c>
      <c r="I63" s="475">
        <v>13190</v>
      </c>
      <c r="J63" s="200">
        <v>7.45045045045045</v>
      </c>
      <c r="K63" s="497">
        <v>0.11</v>
      </c>
      <c r="L63" s="496">
        <v>0</v>
      </c>
      <c r="M63" s="496">
        <v>0</v>
      </c>
      <c r="N63" s="498">
        <v>0</v>
      </c>
      <c r="O63" s="499">
        <v>0</v>
      </c>
      <c r="P63" s="236"/>
      <c r="Y63" s="168"/>
    </row>
    <row r="64" ht="16.5" customHeight="1" outlineLevel="4" spans="2:25">
      <c r="B64" s="470" t="s">
        <v>1646</v>
      </c>
      <c r="C64" s="473"/>
      <c r="D64" s="476" t="s">
        <v>1647</v>
      </c>
      <c r="E64" s="290"/>
      <c r="F64" s="290" t="s">
        <v>1537</v>
      </c>
      <c r="G64" s="478"/>
      <c r="H64" s="477" t="s">
        <v>655</v>
      </c>
      <c r="I64" s="475">
        <v>13190</v>
      </c>
      <c r="J64" s="200">
        <v>22.5225225225225</v>
      </c>
      <c r="K64" s="497">
        <v>0.11</v>
      </c>
      <c r="L64" s="496">
        <v>0</v>
      </c>
      <c r="M64" s="496">
        <v>0</v>
      </c>
      <c r="N64" s="498">
        <v>0</v>
      </c>
      <c r="O64" s="499">
        <v>0</v>
      </c>
      <c r="P64" s="236"/>
      <c r="Y64" s="168"/>
    </row>
    <row r="65" ht="16.5" customHeight="1" outlineLevel="4" spans="2:25">
      <c r="B65" s="470" t="s">
        <v>1648</v>
      </c>
      <c r="C65" s="473"/>
      <c r="D65" s="476" t="s">
        <v>1649</v>
      </c>
      <c r="E65" s="290"/>
      <c r="F65" s="290" t="s">
        <v>1537</v>
      </c>
      <c r="G65" s="478"/>
      <c r="H65" s="477" t="s">
        <v>655</v>
      </c>
      <c r="I65" s="475">
        <v>13190</v>
      </c>
      <c r="J65" s="200">
        <v>27.027027027027</v>
      </c>
      <c r="K65" s="497">
        <v>0.11</v>
      </c>
      <c r="L65" s="496">
        <v>0</v>
      </c>
      <c r="M65" s="496">
        <v>0</v>
      </c>
      <c r="N65" s="498">
        <v>0</v>
      </c>
      <c r="O65" s="499">
        <v>0</v>
      </c>
      <c r="P65" s="236"/>
      <c r="Y65" s="168"/>
    </row>
    <row r="66" ht="16.5" customHeight="1" outlineLevel="1" spans="2:25">
      <c r="B66" s="121" t="s">
        <v>537</v>
      </c>
      <c r="C66" s="193">
        <v>2</v>
      </c>
      <c r="D66" s="121" t="s">
        <v>538</v>
      </c>
      <c r="E66" s="193"/>
      <c r="F66" s="193"/>
      <c r="G66" s="193"/>
      <c r="H66" s="155"/>
      <c r="I66" s="492"/>
      <c r="J66" s="155"/>
      <c r="K66" s="493"/>
      <c r="L66" s="494">
        <v>517.329494093324</v>
      </c>
      <c r="M66" s="494">
        <v>67.4663878066759</v>
      </c>
      <c r="N66" s="494">
        <v>584.7958819</v>
      </c>
      <c r="O66" s="495">
        <v>443.363064366945</v>
      </c>
      <c r="P66" s="233"/>
      <c r="Y66" s="168"/>
    </row>
    <row r="67" ht="16.5" customHeight="1" outlineLevel="2" spans="2:25">
      <c r="B67" s="470" t="s">
        <v>1650</v>
      </c>
      <c r="C67" s="471" t="s">
        <v>619</v>
      </c>
      <c r="D67" s="470" t="s">
        <v>1651</v>
      </c>
      <c r="E67" s="479"/>
      <c r="F67" s="479"/>
      <c r="G67" s="198"/>
      <c r="H67" s="108"/>
      <c r="I67" s="200"/>
      <c r="J67" s="200"/>
      <c r="K67" s="41"/>
      <c r="L67" s="498">
        <v>277.72317</v>
      </c>
      <c r="M67" s="498">
        <v>36.2279019</v>
      </c>
      <c r="N67" s="498">
        <v>313.9510719</v>
      </c>
      <c r="O67" s="499">
        <v>238.022040864291</v>
      </c>
      <c r="P67" s="236"/>
      <c r="Y67" s="168"/>
    </row>
    <row r="68" ht="16.5" customHeight="1" outlineLevel="3" spans="2:25">
      <c r="B68" s="470" t="s">
        <v>1652</v>
      </c>
      <c r="C68" s="473" t="s">
        <v>622</v>
      </c>
      <c r="D68" s="470" t="s">
        <v>1653</v>
      </c>
      <c r="E68" s="290" t="s">
        <v>774</v>
      </c>
      <c r="F68" s="290" t="s">
        <v>1537</v>
      </c>
      <c r="G68" s="200">
        <v>1</v>
      </c>
      <c r="H68" s="108" t="s">
        <v>655</v>
      </c>
      <c r="I68" s="475">
        <v>13190</v>
      </c>
      <c r="J68" s="560">
        <v>50</v>
      </c>
      <c r="K68" s="497">
        <v>0.11</v>
      </c>
      <c r="L68" s="496">
        <v>65.95</v>
      </c>
      <c r="M68" s="496">
        <v>7.2545</v>
      </c>
      <c r="N68" s="498">
        <v>73.2045</v>
      </c>
      <c r="O68" s="499">
        <v>55.5</v>
      </c>
      <c r="P68" s="236"/>
      <c r="Y68" s="168"/>
    </row>
    <row r="69" ht="16.5" customHeight="1" outlineLevel="3" spans="2:25">
      <c r="B69" s="470" t="s">
        <v>1654</v>
      </c>
      <c r="C69" s="473" t="s">
        <v>622</v>
      </c>
      <c r="D69" s="470" t="s">
        <v>1655</v>
      </c>
      <c r="E69" s="479" t="s">
        <v>880</v>
      </c>
      <c r="F69" s="479" t="s">
        <v>601</v>
      </c>
      <c r="G69" s="200">
        <v>3</v>
      </c>
      <c r="H69" s="108" t="s">
        <v>655</v>
      </c>
      <c r="I69" s="200">
        <v>13</v>
      </c>
      <c r="J69" s="200">
        <v>590</v>
      </c>
      <c r="K69" s="41">
        <v>0.11</v>
      </c>
      <c r="L69" s="496">
        <v>2.301</v>
      </c>
      <c r="M69" s="496">
        <v>0.25311</v>
      </c>
      <c r="N69" s="498">
        <v>2.55411</v>
      </c>
      <c r="O69" s="499">
        <v>1.93639878695982</v>
      </c>
      <c r="P69" s="236"/>
      <c r="Y69" s="168"/>
    </row>
    <row r="70" ht="16.5" customHeight="1" outlineLevel="3" spans="2:25">
      <c r="B70" s="470" t="s">
        <v>1656</v>
      </c>
      <c r="C70" s="473" t="s">
        <v>622</v>
      </c>
      <c r="D70" s="470" t="s">
        <v>1657</v>
      </c>
      <c r="E70" s="479" t="s">
        <v>891</v>
      </c>
      <c r="F70" s="290" t="s">
        <v>1537</v>
      </c>
      <c r="G70" s="200">
        <v>1</v>
      </c>
      <c r="H70" s="108" t="s">
        <v>655</v>
      </c>
      <c r="I70" s="200">
        <v>13190</v>
      </c>
      <c r="J70" s="200">
        <v>3</v>
      </c>
      <c r="K70" s="41">
        <v>0.17</v>
      </c>
      <c r="L70" s="496">
        <v>3.957</v>
      </c>
      <c r="M70" s="496">
        <v>0.67269</v>
      </c>
      <c r="N70" s="498">
        <v>4.62969</v>
      </c>
      <c r="O70" s="499">
        <v>3.51</v>
      </c>
      <c r="P70" s="236"/>
      <c r="Y70" s="168"/>
    </row>
    <row r="71" ht="16.5" customHeight="1" outlineLevel="3" spans="2:25">
      <c r="B71" s="470" t="s">
        <v>1658</v>
      </c>
      <c r="C71" s="473" t="s">
        <v>622</v>
      </c>
      <c r="D71" s="470" t="s">
        <v>1659</v>
      </c>
      <c r="E71" s="479" t="s">
        <v>891</v>
      </c>
      <c r="F71" s="290" t="s">
        <v>1537</v>
      </c>
      <c r="G71" s="200">
        <v>1</v>
      </c>
      <c r="H71" s="108" t="s">
        <v>655</v>
      </c>
      <c r="I71" s="200">
        <v>13190</v>
      </c>
      <c r="J71" s="200">
        <v>5.56</v>
      </c>
      <c r="K71" s="41">
        <v>0.17</v>
      </c>
      <c r="L71" s="496">
        <v>7.33364</v>
      </c>
      <c r="M71" s="496">
        <v>1.2467188</v>
      </c>
      <c r="N71" s="498">
        <v>8.5803588</v>
      </c>
      <c r="O71" s="499">
        <v>6.5052</v>
      </c>
      <c r="P71" s="236"/>
      <c r="Y71" s="168"/>
    </row>
    <row r="72" ht="16.5" customHeight="1" outlineLevel="3" spans="2:25">
      <c r="B72" s="470" t="s">
        <v>1660</v>
      </c>
      <c r="C72" s="473" t="s">
        <v>622</v>
      </c>
      <c r="D72" s="470" t="s">
        <v>1661</v>
      </c>
      <c r="E72" s="479" t="s">
        <v>774</v>
      </c>
      <c r="F72" s="290" t="s">
        <v>1537</v>
      </c>
      <c r="G72" s="200">
        <v>1</v>
      </c>
      <c r="H72" s="108" t="s">
        <v>655</v>
      </c>
      <c r="I72" s="200">
        <v>13190</v>
      </c>
      <c r="J72" s="475">
        <v>4.05</v>
      </c>
      <c r="K72" s="41">
        <v>0.11</v>
      </c>
      <c r="L72" s="496">
        <v>5.34195</v>
      </c>
      <c r="M72" s="496">
        <v>0.5876145</v>
      </c>
      <c r="N72" s="498">
        <v>5.9295645</v>
      </c>
      <c r="O72" s="499">
        <v>4.4955</v>
      </c>
      <c r="P72" s="236"/>
      <c r="Y72" s="168"/>
    </row>
    <row r="73" ht="16.5" customHeight="1" outlineLevel="3" spans="2:25">
      <c r="B73" s="470" t="s">
        <v>1662</v>
      </c>
      <c r="C73" s="473" t="s">
        <v>622</v>
      </c>
      <c r="D73" s="470" t="s">
        <v>1663</v>
      </c>
      <c r="E73" s="479"/>
      <c r="F73" s="479"/>
      <c r="G73" s="200">
        <v>1</v>
      </c>
      <c r="H73" s="108" t="s">
        <v>655</v>
      </c>
      <c r="I73" s="200"/>
      <c r="J73" s="200">
        <v>0</v>
      </c>
      <c r="K73" s="41">
        <v>0.11</v>
      </c>
      <c r="L73" s="496">
        <v>0</v>
      </c>
      <c r="M73" s="496">
        <v>0</v>
      </c>
      <c r="N73" s="498">
        <v>0</v>
      </c>
      <c r="O73" s="499">
        <v>0</v>
      </c>
      <c r="P73" s="236"/>
      <c r="Y73" s="168"/>
    </row>
    <row r="74" ht="16.5" customHeight="1" outlineLevel="3" spans="2:25">
      <c r="B74" s="470" t="s">
        <v>1664</v>
      </c>
      <c r="C74" s="473" t="s">
        <v>622</v>
      </c>
      <c r="D74" s="470" t="s">
        <v>1665</v>
      </c>
      <c r="E74" s="479" t="s">
        <v>774</v>
      </c>
      <c r="F74" s="479"/>
      <c r="G74" s="200">
        <v>1</v>
      </c>
      <c r="H74" s="108" t="s">
        <v>655</v>
      </c>
      <c r="I74" s="200"/>
      <c r="J74" s="200">
        <v>0</v>
      </c>
      <c r="K74" s="41">
        <v>0.11</v>
      </c>
      <c r="L74" s="496">
        <v>0</v>
      </c>
      <c r="M74" s="496">
        <v>0</v>
      </c>
      <c r="N74" s="498">
        <v>0</v>
      </c>
      <c r="O74" s="499">
        <v>0</v>
      </c>
      <c r="P74" s="236"/>
      <c r="Y74" s="168"/>
    </row>
    <row r="75" ht="16.5" customHeight="1" outlineLevel="3" spans="2:25">
      <c r="B75" s="470" t="s">
        <v>1666</v>
      </c>
      <c r="C75" s="473" t="s">
        <v>622</v>
      </c>
      <c r="D75" s="470" t="s">
        <v>1667</v>
      </c>
      <c r="E75" s="479" t="s">
        <v>913</v>
      </c>
      <c r="F75" s="479" t="s">
        <v>601</v>
      </c>
      <c r="G75" s="200"/>
      <c r="H75" s="108" t="s">
        <v>1668</v>
      </c>
      <c r="I75" s="200">
        <v>350</v>
      </c>
      <c r="J75" s="200">
        <v>2522.52252252252</v>
      </c>
      <c r="K75" s="41">
        <v>0.11</v>
      </c>
      <c r="L75" s="496">
        <v>0</v>
      </c>
      <c r="M75" s="496">
        <v>0</v>
      </c>
      <c r="N75" s="498">
        <v>0</v>
      </c>
      <c r="O75" s="499">
        <v>0</v>
      </c>
      <c r="P75" s="236"/>
      <c r="Y75" s="168"/>
    </row>
    <row r="76" ht="16.5" customHeight="1" outlineLevel="3" spans="2:25">
      <c r="B76" s="470" t="s">
        <v>1669</v>
      </c>
      <c r="C76" s="473" t="s">
        <v>622</v>
      </c>
      <c r="D76" s="470" t="s">
        <v>1670</v>
      </c>
      <c r="E76" s="290" t="s">
        <v>774</v>
      </c>
      <c r="F76" s="290" t="s">
        <v>1537</v>
      </c>
      <c r="G76" s="200">
        <v>1</v>
      </c>
      <c r="H76" s="108" t="s">
        <v>655</v>
      </c>
      <c r="I76" s="475">
        <v>13190</v>
      </c>
      <c r="J76" s="200">
        <v>81</v>
      </c>
      <c r="K76" s="497">
        <v>0.11</v>
      </c>
      <c r="L76" s="496">
        <v>106.839</v>
      </c>
      <c r="M76" s="496">
        <v>11.75229</v>
      </c>
      <c r="N76" s="498">
        <v>118.59129</v>
      </c>
      <c r="O76" s="499">
        <v>89.91</v>
      </c>
      <c r="P76" s="236"/>
      <c r="Y76" s="168"/>
    </row>
    <row r="77" ht="16.5" customHeight="1" outlineLevel="3" spans="2:25">
      <c r="B77" s="470" t="s">
        <v>1671</v>
      </c>
      <c r="C77" s="473" t="s">
        <v>622</v>
      </c>
      <c r="D77" s="470" t="s">
        <v>1672</v>
      </c>
      <c r="E77" s="479" t="s">
        <v>891</v>
      </c>
      <c r="F77" s="290" t="s">
        <v>1537</v>
      </c>
      <c r="G77" s="502">
        <v>1</v>
      </c>
      <c r="H77" s="503" t="s">
        <v>655</v>
      </c>
      <c r="I77" s="200">
        <v>13190</v>
      </c>
      <c r="J77" s="514">
        <v>8.55</v>
      </c>
      <c r="K77" s="41">
        <v>0.17</v>
      </c>
      <c r="L77" s="496">
        <v>11.27745</v>
      </c>
      <c r="M77" s="496">
        <v>1.9171665</v>
      </c>
      <c r="N77" s="498">
        <v>13.1946165</v>
      </c>
      <c r="O77" s="499">
        <v>10.0035</v>
      </c>
      <c r="P77" s="236"/>
      <c r="Y77" s="168"/>
    </row>
    <row r="78" ht="16.5" customHeight="1" outlineLevel="3" spans="2:25">
      <c r="B78" s="470" t="s">
        <v>1673</v>
      </c>
      <c r="C78" s="473" t="s">
        <v>622</v>
      </c>
      <c r="D78" s="470" t="s">
        <v>1674</v>
      </c>
      <c r="E78" s="479" t="s">
        <v>943</v>
      </c>
      <c r="F78" s="290" t="s">
        <v>1537</v>
      </c>
      <c r="G78" s="200">
        <v>1</v>
      </c>
      <c r="H78" s="503" t="s">
        <v>655</v>
      </c>
      <c r="I78" s="200">
        <v>13190</v>
      </c>
      <c r="J78" s="200">
        <v>16.24</v>
      </c>
      <c r="K78" s="41">
        <v>0.17</v>
      </c>
      <c r="L78" s="496">
        <v>21.42056</v>
      </c>
      <c r="M78" s="496">
        <v>3.6414952</v>
      </c>
      <c r="N78" s="498">
        <v>25.0620552</v>
      </c>
      <c r="O78" s="499">
        <v>19.0008</v>
      </c>
      <c r="P78" s="236"/>
      <c r="Y78" s="168"/>
    </row>
    <row r="79" ht="16.5" customHeight="1" outlineLevel="3" spans="2:25">
      <c r="B79" s="470" t="s">
        <v>1675</v>
      </c>
      <c r="C79" s="473" t="s">
        <v>622</v>
      </c>
      <c r="D79" s="470" t="s">
        <v>1676</v>
      </c>
      <c r="E79" s="479" t="s">
        <v>943</v>
      </c>
      <c r="F79" s="290" t="s">
        <v>1537</v>
      </c>
      <c r="G79" s="200">
        <v>1</v>
      </c>
      <c r="H79" s="503" t="s">
        <v>655</v>
      </c>
      <c r="I79" s="200">
        <v>13190</v>
      </c>
      <c r="J79" s="200">
        <v>14.53</v>
      </c>
      <c r="K79" s="41">
        <v>0.17</v>
      </c>
      <c r="L79" s="496">
        <v>19.16507</v>
      </c>
      <c r="M79" s="496">
        <v>3.2580619</v>
      </c>
      <c r="N79" s="498">
        <v>22.4231319</v>
      </c>
      <c r="O79" s="499">
        <v>17.0001</v>
      </c>
      <c r="P79" s="236"/>
      <c r="Y79" s="168"/>
    </row>
    <row r="80" ht="16.5" customHeight="1" outlineLevel="3" spans="2:25">
      <c r="B80" s="470" t="s">
        <v>1677</v>
      </c>
      <c r="C80" s="473" t="s">
        <v>622</v>
      </c>
      <c r="D80" s="470" t="s">
        <v>1678</v>
      </c>
      <c r="E80" s="479" t="s">
        <v>1359</v>
      </c>
      <c r="F80" s="290" t="s">
        <v>1537</v>
      </c>
      <c r="G80" s="200">
        <v>0.75</v>
      </c>
      <c r="H80" s="108" t="s">
        <v>655</v>
      </c>
      <c r="I80" s="200">
        <v>13190</v>
      </c>
      <c r="J80" s="200">
        <v>6</v>
      </c>
      <c r="K80" s="41">
        <v>0.17</v>
      </c>
      <c r="L80" s="496">
        <v>5.9355</v>
      </c>
      <c r="M80" s="496">
        <v>1.009035</v>
      </c>
      <c r="N80" s="498">
        <v>6.944535</v>
      </c>
      <c r="O80" s="499">
        <v>5.265</v>
      </c>
      <c r="P80" s="236"/>
      <c r="Y80" s="168"/>
    </row>
    <row r="81" ht="16.5" customHeight="1" outlineLevel="3" spans="2:25">
      <c r="B81" s="470" t="s">
        <v>1679</v>
      </c>
      <c r="C81" s="473" t="s">
        <v>622</v>
      </c>
      <c r="D81" s="470" t="s">
        <v>1680</v>
      </c>
      <c r="E81" s="479" t="s">
        <v>1359</v>
      </c>
      <c r="F81" s="479" t="s">
        <v>601</v>
      </c>
      <c r="G81" s="200">
        <v>1</v>
      </c>
      <c r="H81" s="108" t="s">
        <v>1681</v>
      </c>
      <c r="I81" s="475">
        <v>350</v>
      </c>
      <c r="J81" s="200">
        <v>130</v>
      </c>
      <c r="K81" s="497">
        <v>0.17</v>
      </c>
      <c r="L81" s="496">
        <v>4.55</v>
      </c>
      <c r="M81" s="496">
        <v>0.7735</v>
      </c>
      <c r="N81" s="498">
        <v>5.3235</v>
      </c>
      <c r="O81" s="499">
        <v>4.03601213040182</v>
      </c>
      <c r="P81" s="236"/>
      <c r="Y81" s="168"/>
    </row>
    <row r="82" ht="16.5" customHeight="1" outlineLevel="3" spans="2:25">
      <c r="B82" s="470" t="s">
        <v>1682</v>
      </c>
      <c r="C82" s="473" t="s">
        <v>622</v>
      </c>
      <c r="D82" s="470" t="s">
        <v>1683</v>
      </c>
      <c r="E82" s="504" t="s">
        <v>928</v>
      </c>
      <c r="F82" s="479" t="s">
        <v>601</v>
      </c>
      <c r="G82" s="200">
        <v>1</v>
      </c>
      <c r="H82" s="108" t="s">
        <v>1681</v>
      </c>
      <c r="I82" s="200">
        <v>350</v>
      </c>
      <c r="J82" s="200">
        <v>600</v>
      </c>
      <c r="K82" s="41">
        <v>0.17</v>
      </c>
      <c r="L82" s="496">
        <v>21</v>
      </c>
      <c r="M82" s="496">
        <v>3.57</v>
      </c>
      <c r="N82" s="498">
        <v>24.57</v>
      </c>
      <c r="O82" s="499">
        <v>18.6277482941622</v>
      </c>
      <c r="P82" s="236"/>
      <c r="Y82" s="168"/>
    </row>
    <row r="83" ht="16.5" customHeight="1" outlineLevel="3" spans="2:25">
      <c r="B83" s="470" t="s">
        <v>1684</v>
      </c>
      <c r="C83" s="473" t="s">
        <v>622</v>
      </c>
      <c r="D83" s="470" t="s">
        <v>1685</v>
      </c>
      <c r="E83" s="479" t="s">
        <v>774</v>
      </c>
      <c r="F83" s="479" t="s">
        <v>1252</v>
      </c>
      <c r="G83" s="475">
        <v>30</v>
      </c>
      <c r="H83" s="108" t="s">
        <v>655</v>
      </c>
      <c r="I83" s="200">
        <v>13</v>
      </c>
      <c r="J83" s="200">
        <v>68</v>
      </c>
      <c r="K83" s="41">
        <v>0.11</v>
      </c>
      <c r="L83" s="496">
        <v>2.652</v>
      </c>
      <c r="M83" s="496">
        <v>0.29172</v>
      </c>
      <c r="N83" s="498">
        <v>2.94372</v>
      </c>
      <c r="O83" s="499">
        <v>2.23178165276725</v>
      </c>
      <c r="P83" s="236"/>
      <c r="Y83" s="168"/>
    </row>
    <row r="84" ht="16.5" customHeight="1" outlineLevel="2" spans="2:25">
      <c r="B84" s="470" t="s">
        <v>1686</v>
      </c>
      <c r="C84" s="471" t="s">
        <v>657</v>
      </c>
      <c r="D84" s="470" t="s">
        <v>1687</v>
      </c>
      <c r="E84" s="479"/>
      <c r="F84" s="479"/>
      <c r="G84" s="198"/>
      <c r="H84" s="108"/>
      <c r="I84" s="200"/>
      <c r="J84" s="200"/>
      <c r="K84" s="41"/>
      <c r="L84" s="515">
        <v>239.606324093324</v>
      </c>
      <c r="M84" s="515">
        <v>31.2384859066759</v>
      </c>
      <c r="N84" s="515">
        <v>270.84481</v>
      </c>
      <c r="O84" s="499">
        <v>205.341023502654</v>
      </c>
      <c r="P84" s="236"/>
      <c r="Y84" s="168"/>
    </row>
    <row r="85" ht="16.5" customHeight="1" outlineLevel="3" spans="2:25">
      <c r="B85" s="470" t="s">
        <v>1688</v>
      </c>
      <c r="C85" s="473" t="s">
        <v>622</v>
      </c>
      <c r="D85" s="470" t="s">
        <v>1689</v>
      </c>
      <c r="E85" s="479" t="s">
        <v>1360</v>
      </c>
      <c r="F85" s="479" t="s">
        <v>602</v>
      </c>
      <c r="G85" s="200">
        <v>4</v>
      </c>
      <c r="H85" s="108" t="s">
        <v>1690</v>
      </c>
      <c r="I85" s="200">
        <v>1</v>
      </c>
      <c r="J85" s="516">
        <v>147350.427350427</v>
      </c>
      <c r="K85" s="41">
        <v>0.17</v>
      </c>
      <c r="L85" s="496">
        <v>58.940170940171</v>
      </c>
      <c r="M85" s="496">
        <v>10.0198290598291</v>
      </c>
      <c r="N85" s="498">
        <v>68.96</v>
      </c>
      <c r="O85" s="499">
        <v>52.2820318423048</v>
      </c>
      <c r="P85" s="236"/>
      <c r="Y85" s="168"/>
    </row>
    <row r="86" ht="16.5" customHeight="1" outlineLevel="3" spans="2:25">
      <c r="B86" s="470" t="s">
        <v>1691</v>
      </c>
      <c r="C86" s="473" t="s">
        <v>622</v>
      </c>
      <c r="D86" s="470" t="s">
        <v>1692</v>
      </c>
      <c r="E86" s="479" t="s">
        <v>1361</v>
      </c>
      <c r="F86" s="479" t="s">
        <v>602</v>
      </c>
      <c r="G86" s="200">
        <v>4</v>
      </c>
      <c r="H86" s="108" t="s">
        <v>1690</v>
      </c>
      <c r="I86" s="200">
        <v>1</v>
      </c>
      <c r="J86" s="516">
        <v>32882.8828828829</v>
      </c>
      <c r="K86" s="41">
        <v>0.11</v>
      </c>
      <c r="L86" s="496">
        <v>13.1531531531532</v>
      </c>
      <c r="M86" s="496">
        <v>1.44684684684685</v>
      </c>
      <c r="N86" s="498">
        <v>14.6</v>
      </c>
      <c r="O86" s="499">
        <v>11.0689916603487</v>
      </c>
      <c r="P86" s="236"/>
      <c r="Y86" s="168"/>
    </row>
    <row r="87" ht="16.5" customHeight="1" outlineLevel="3" spans="2:25">
      <c r="B87" s="470" t="s">
        <v>1693</v>
      </c>
      <c r="C87" s="473" t="s">
        <v>622</v>
      </c>
      <c r="D87" s="470" t="s">
        <v>1694</v>
      </c>
      <c r="E87" s="290" t="s">
        <v>931</v>
      </c>
      <c r="F87" s="290" t="s">
        <v>1537</v>
      </c>
      <c r="G87" s="200">
        <v>1</v>
      </c>
      <c r="H87" s="108" t="s">
        <v>655</v>
      </c>
      <c r="I87" s="475">
        <v>13190</v>
      </c>
      <c r="J87" s="560">
        <v>110</v>
      </c>
      <c r="K87" s="497">
        <v>0.11</v>
      </c>
      <c r="L87" s="496">
        <v>145.09</v>
      </c>
      <c r="M87" s="496">
        <v>15.9599</v>
      </c>
      <c r="N87" s="498">
        <v>161.0499</v>
      </c>
      <c r="O87" s="499">
        <v>122.1</v>
      </c>
      <c r="P87" s="236"/>
      <c r="Y87" s="168"/>
    </row>
    <row r="88" ht="16.5" customHeight="1" outlineLevel="3" spans="2:25">
      <c r="B88" s="470" t="s">
        <v>1695</v>
      </c>
      <c r="C88" s="473" t="s">
        <v>622</v>
      </c>
      <c r="D88" s="470" t="s">
        <v>1696</v>
      </c>
      <c r="E88" s="290" t="s">
        <v>943</v>
      </c>
      <c r="F88" s="290" t="s">
        <v>1537</v>
      </c>
      <c r="G88" s="200">
        <v>1</v>
      </c>
      <c r="H88" s="108" t="s">
        <v>655</v>
      </c>
      <c r="I88" s="475">
        <v>13190</v>
      </c>
      <c r="J88" s="560">
        <v>17</v>
      </c>
      <c r="K88" s="497">
        <v>0.17</v>
      </c>
      <c r="L88" s="496">
        <v>22.423</v>
      </c>
      <c r="M88" s="496">
        <v>3.81191</v>
      </c>
      <c r="N88" s="498">
        <v>26.23491</v>
      </c>
      <c r="O88" s="499">
        <v>19.89</v>
      </c>
      <c r="P88" s="236"/>
      <c r="Y88" s="168"/>
    </row>
    <row r="89" ht="16.5" customHeight="1" outlineLevel="3" spans="2:25">
      <c r="B89" s="470" t="s">
        <v>1697</v>
      </c>
      <c r="C89" s="473" t="s">
        <v>622</v>
      </c>
      <c r="D89" s="470" t="s">
        <v>1698</v>
      </c>
      <c r="E89" s="479" t="s">
        <v>1406</v>
      </c>
      <c r="F89" s="479" t="s">
        <v>505</v>
      </c>
      <c r="G89" s="200"/>
      <c r="H89" s="108" t="s">
        <v>655</v>
      </c>
      <c r="I89" s="200"/>
      <c r="J89" s="200">
        <v>0</v>
      </c>
      <c r="K89" s="41">
        <v>0.11</v>
      </c>
      <c r="L89" s="496">
        <v>0</v>
      </c>
      <c r="M89" s="496">
        <v>0</v>
      </c>
      <c r="N89" s="498">
        <v>0</v>
      </c>
      <c r="O89" s="499">
        <v>0</v>
      </c>
      <c r="P89" s="236"/>
      <c r="Y89" s="168"/>
    </row>
    <row r="90" ht="16.5" customHeight="1" outlineLevel="3" spans="2:25">
      <c r="B90" s="470" t="s">
        <v>1699</v>
      </c>
      <c r="C90" s="473" t="s">
        <v>622</v>
      </c>
      <c r="D90" s="470" t="s">
        <v>1700</v>
      </c>
      <c r="E90" s="479"/>
      <c r="F90" s="479" t="s">
        <v>505</v>
      </c>
      <c r="G90" s="200"/>
      <c r="H90" s="108" t="s">
        <v>655</v>
      </c>
      <c r="I90" s="200"/>
      <c r="J90" s="200">
        <v>0</v>
      </c>
      <c r="K90" s="41">
        <v>0.11</v>
      </c>
      <c r="L90" s="496">
        <v>0</v>
      </c>
      <c r="M90" s="496">
        <v>0</v>
      </c>
      <c r="N90" s="498">
        <v>0</v>
      </c>
      <c r="O90" s="499">
        <v>0</v>
      </c>
      <c r="P90" s="236"/>
      <c r="Y90" s="168"/>
    </row>
    <row r="91" ht="16.5" customHeight="1" outlineLevel="3" spans="2:25">
      <c r="B91" s="470" t="s">
        <v>1701</v>
      </c>
      <c r="C91" s="473" t="s">
        <v>622</v>
      </c>
      <c r="D91" s="470" t="s">
        <v>1702</v>
      </c>
      <c r="E91" s="479"/>
      <c r="F91" s="479" t="s">
        <v>505</v>
      </c>
      <c r="G91" s="200"/>
      <c r="H91" s="108" t="s">
        <v>655</v>
      </c>
      <c r="I91" s="200"/>
      <c r="J91" s="200">
        <v>0</v>
      </c>
      <c r="K91" s="41">
        <v>0.11</v>
      </c>
      <c r="L91" s="496">
        <v>0</v>
      </c>
      <c r="M91" s="496">
        <v>0</v>
      </c>
      <c r="N91" s="498">
        <v>0</v>
      </c>
      <c r="O91" s="499">
        <v>0</v>
      </c>
      <c r="P91" s="236"/>
      <c r="Y91" s="168"/>
    </row>
    <row r="92" ht="16.5" customHeight="1" spans="2:25">
      <c r="B92" s="468" t="s">
        <v>1703</v>
      </c>
      <c r="C92" s="469" t="s">
        <v>547</v>
      </c>
      <c r="D92" s="468" t="s">
        <v>482</v>
      </c>
      <c r="E92" s="192"/>
      <c r="F92" s="192"/>
      <c r="G92" s="192"/>
      <c r="H92" s="206"/>
      <c r="I92" s="488"/>
      <c r="J92" s="488"/>
      <c r="K92" s="488"/>
      <c r="L92" s="490">
        <v>772.387387387387</v>
      </c>
      <c r="M92" s="490">
        <v>84.9626126126126</v>
      </c>
      <c r="N92" s="490">
        <v>857.35</v>
      </c>
      <c r="O92" s="491">
        <v>650</v>
      </c>
      <c r="P92" s="251"/>
      <c r="Y92" s="168"/>
    </row>
    <row r="93" ht="16.5" customHeight="1" outlineLevel="1" spans="2:25">
      <c r="B93" s="505" t="s">
        <v>1704</v>
      </c>
      <c r="C93" s="506">
        <v>1</v>
      </c>
      <c r="D93" s="505" t="s">
        <v>1705</v>
      </c>
      <c r="E93" s="193"/>
      <c r="F93" s="193"/>
      <c r="G93" s="193"/>
      <c r="H93" s="155"/>
      <c r="I93" s="492"/>
      <c r="J93" s="567"/>
      <c r="K93" s="492"/>
      <c r="L93" s="494">
        <v>772.387387387387</v>
      </c>
      <c r="M93" s="494">
        <v>84.9626126126126</v>
      </c>
      <c r="N93" s="494">
        <v>857.35</v>
      </c>
      <c r="O93" s="495">
        <v>650</v>
      </c>
      <c r="P93" s="233"/>
      <c r="Y93" s="168"/>
    </row>
    <row r="94" ht="16.5" customHeight="1" outlineLevel="2" spans="2:25">
      <c r="B94" s="470" t="s">
        <v>1706</v>
      </c>
      <c r="C94" s="471" t="s">
        <v>619</v>
      </c>
      <c r="D94" s="470" t="s">
        <v>1707</v>
      </c>
      <c r="E94" s="290" t="s">
        <v>1363</v>
      </c>
      <c r="F94" s="290" t="s">
        <v>1537</v>
      </c>
      <c r="G94" s="200">
        <v>1</v>
      </c>
      <c r="H94" s="108" t="s">
        <v>655</v>
      </c>
      <c r="I94" s="475">
        <v>13190</v>
      </c>
      <c r="J94" s="475">
        <v>585.585585585586</v>
      </c>
      <c r="K94" s="497">
        <v>0.11</v>
      </c>
      <c r="L94" s="477">
        <v>772.387387387387</v>
      </c>
      <c r="M94" s="475">
        <v>84.9626126126126</v>
      </c>
      <c r="N94" s="498">
        <v>857.35</v>
      </c>
      <c r="O94" s="499">
        <v>650</v>
      </c>
      <c r="P94" s="309"/>
      <c r="Y94" s="168"/>
    </row>
    <row r="95" ht="16.5" customHeight="1" outlineLevel="2" spans="2:25">
      <c r="B95" s="470" t="s">
        <v>1708</v>
      </c>
      <c r="C95" s="471" t="s">
        <v>657</v>
      </c>
      <c r="D95" s="470" t="s">
        <v>1709</v>
      </c>
      <c r="E95" s="290" t="s">
        <v>1364</v>
      </c>
      <c r="F95" s="290" t="s">
        <v>1537</v>
      </c>
      <c r="G95" s="200"/>
      <c r="H95" s="108" t="s">
        <v>655</v>
      </c>
      <c r="I95" s="475">
        <v>13190</v>
      </c>
      <c r="J95" s="475">
        <v>54</v>
      </c>
      <c r="K95" s="497">
        <v>0.11</v>
      </c>
      <c r="L95" s="477">
        <v>0</v>
      </c>
      <c r="M95" s="475">
        <v>0</v>
      </c>
      <c r="N95" s="498">
        <v>0</v>
      </c>
      <c r="O95" s="499">
        <v>0</v>
      </c>
      <c r="P95" s="309"/>
      <c r="Y95" s="168"/>
    </row>
    <row r="96" ht="16.5" customHeight="1" outlineLevel="2" spans="2:25">
      <c r="B96" s="470" t="s">
        <v>1710</v>
      </c>
      <c r="C96" s="471" t="s">
        <v>762</v>
      </c>
      <c r="D96" s="470" t="s">
        <v>1711</v>
      </c>
      <c r="E96" s="290" t="s">
        <v>1365</v>
      </c>
      <c r="F96" s="290" t="s">
        <v>1537</v>
      </c>
      <c r="G96" s="200"/>
      <c r="H96" s="108" t="s">
        <v>655</v>
      </c>
      <c r="I96" s="475">
        <v>13190</v>
      </c>
      <c r="J96" s="475">
        <v>90</v>
      </c>
      <c r="K96" s="497">
        <v>0.11</v>
      </c>
      <c r="L96" s="477">
        <v>0</v>
      </c>
      <c r="M96" s="475">
        <v>0</v>
      </c>
      <c r="N96" s="498">
        <v>0</v>
      </c>
      <c r="O96" s="499">
        <v>0</v>
      </c>
      <c r="P96" s="309"/>
      <c r="Y96" s="168"/>
    </row>
    <row r="97" ht="16.5" customHeight="1" outlineLevel="2" spans="2:25">
      <c r="B97" s="470" t="s">
        <v>1712</v>
      </c>
      <c r="C97" s="471" t="s">
        <v>778</v>
      </c>
      <c r="D97" s="470" t="s">
        <v>1713</v>
      </c>
      <c r="E97" s="290" t="s">
        <v>1367</v>
      </c>
      <c r="F97" s="290" t="s">
        <v>1537</v>
      </c>
      <c r="G97" s="200"/>
      <c r="H97" s="108" t="s">
        <v>655</v>
      </c>
      <c r="I97" s="475">
        <v>13190</v>
      </c>
      <c r="J97" s="475">
        <v>15</v>
      </c>
      <c r="K97" s="497">
        <v>0.11</v>
      </c>
      <c r="L97" s="477">
        <v>0</v>
      </c>
      <c r="M97" s="475">
        <v>0</v>
      </c>
      <c r="N97" s="498">
        <v>0</v>
      </c>
      <c r="O97" s="499">
        <v>0</v>
      </c>
      <c r="P97" s="309"/>
      <c r="Y97" s="168"/>
    </row>
    <row r="98" ht="16.5" customHeight="1" outlineLevel="2" spans="2:25">
      <c r="B98" s="470" t="s">
        <v>1714</v>
      </c>
      <c r="C98" s="471" t="s">
        <v>781</v>
      </c>
      <c r="D98" s="470" t="s">
        <v>1715</v>
      </c>
      <c r="E98" s="290" t="s">
        <v>1368</v>
      </c>
      <c r="F98" s="290" t="s">
        <v>1537</v>
      </c>
      <c r="G98" s="200"/>
      <c r="H98" s="108" t="s">
        <v>655</v>
      </c>
      <c r="I98" s="475">
        <v>13190</v>
      </c>
      <c r="J98" s="475">
        <v>45</v>
      </c>
      <c r="K98" s="497">
        <v>0.11</v>
      </c>
      <c r="L98" s="477">
        <v>0</v>
      </c>
      <c r="M98" s="475">
        <v>0</v>
      </c>
      <c r="N98" s="498">
        <v>0</v>
      </c>
      <c r="O98" s="499">
        <v>0</v>
      </c>
      <c r="P98" s="309"/>
      <c r="Y98" s="168"/>
    </row>
    <row r="99" ht="16.5" customHeight="1" outlineLevel="2" spans="2:25">
      <c r="B99" s="470" t="s">
        <v>1716</v>
      </c>
      <c r="C99" s="471" t="s">
        <v>788</v>
      </c>
      <c r="D99" s="470" t="s">
        <v>1717</v>
      </c>
      <c r="E99" s="290" t="s">
        <v>1406</v>
      </c>
      <c r="F99" s="290" t="s">
        <v>1537</v>
      </c>
      <c r="G99" s="200"/>
      <c r="H99" s="108" t="s">
        <v>655</v>
      </c>
      <c r="I99" s="475">
        <v>13190</v>
      </c>
      <c r="J99" s="475"/>
      <c r="K99" s="497">
        <v>0.11</v>
      </c>
      <c r="L99" s="477">
        <v>0</v>
      </c>
      <c r="M99" s="475">
        <v>0</v>
      </c>
      <c r="N99" s="498">
        <v>0</v>
      </c>
      <c r="O99" s="499">
        <v>0</v>
      </c>
      <c r="P99" s="309"/>
      <c r="Y99" s="168"/>
    </row>
    <row r="100" ht="16.5" customHeight="1" outlineLevel="2" spans="2:25">
      <c r="B100" s="470" t="s">
        <v>1718</v>
      </c>
      <c r="C100" s="471" t="s">
        <v>791</v>
      </c>
      <c r="D100" s="470" t="s">
        <v>1719</v>
      </c>
      <c r="E100" s="290" t="s">
        <v>1369</v>
      </c>
      <c r="F100" s="290" t="s">
        <v>1537</v>
      </c>
      <c r="G100" s="200"/>
      <c r="H100" s="108" t="s">
        <v>655</v>
      </c>
      <c r="I100" s="475">
        <v>13190</v>
      </c>
      <c r="J100" s="475">
        <v>5</v>
      </c>
      <c r="K100" s="497">
        <v>0.11</v>
      </c>
      <c r="L100" s="477">
        <v>0</v>
      </c>
      <c r="M100" s="475">
        <v>0</v>
      </c>
      <c r="N100" s="498">
        <v>0</v>
      </c>
      <c r="O100" s="499">
        <v>0</v>
      </c>
      <c r="P100" s="309"/>
      <c r="Y100" s="168"/>
    </row>
    <row r="101" ht="16.5" customHeight="1" outlineLevel="2" spans="2:25">
      <c r="B101" s="470" t="s">
        <v>1720</v>
      </c>
      <c r="C101" s="471" t="s">
        <v>797</v>
      </c>
      <c r="D101" s="470" t="s">
        <v>1721</v>
      </c>
      <c r="E101" s="290" t="s">
        <v>1371</v>
      </c>
      <c r="F101" s="290" t="s">
        <v>1537</v>
      </c>
      <c r="G101" s="200"/>
      <c r="H101" s="108" t="s">
        <v>655</v>
      </c>
      <c r="I101" s="475">
        <v>13190</v>
      </c>
      <c r="J101" s="475">
        <v>18</v>
      </c>
      <c r="K101" s="497">
        <v>0.17</v>
      </c>
      <c r="L101" s="477">
        <v>0</v>
      </c>
      <c r="M101" s="475">
        <v>0</v>
      </c>
      <c r="N101" s="498">
        <v>0</v>
      </c>
      <c r="O101" s="499">
        <v>0</v>
      </c>
      <c r="P101" s="309"/>
      <c r="Y101" s="168"/>
    </row>
    <row r="102" ht="16.5" customHeight="1" outlineLevel="2" spans="2:25">
      <c r="B102" s="470" t="s">
        <v>1722</v>
      </c>
      <c r="C102" s="471" t="s">
        <v>1519</v>
      </c>
      <c r="D102" s="470" t="s">
        <v>1723</v>
      </c>
      <c r="E102" s="290" t="s">
        <v>1372</v>
      </c>
      <c r="F102" s="290" t="s">
        <v>1537</v>
      </c>
      <c r="G102" s="200"/>
      <c r="H102" s="108" t="s">
        <v>655</v>
      </c>
      <c r="I102" s="475">
        <v>13190</v>
      </c>
      <c r="J102" s="475"/>
      <c r="K102" s="497">
        <v>0.17</v>
      </c>
      <c r="L102" s="477">
        <v>0</v>
      </c>
      <c r="M102" s="475">
        <v>0</v>
      </c>
      <c r="N102" s="498">
        <v>0</v>
      </c>
      <c r="O102" s="499">
        <v>0</v>
      </c>
      <c r="P102" s="309"/>
      <c r="Y102" s="168"/>
    </row>
    <row r="103" ht="16.5" customHeight="1" outlineLevel="2" spans="2:25">
      <c r="B103" s="470" t="s">
        <v>1724</v>
      </c>
      <c r="C103" s="471" t="s">
        <v>1520</v>
      </c>
      <c r="D103" s="470" t="s">
        <v>1725</v>
      </c>
      <c r="E103" s="290" t="s">
        <v>1373</v>
      </c>
      <c r="F103" s="290" t="s">
        <v>1537</v>
      </c>
      <c r="G103" s="200"/>
      <c r="H103" s="108" t="s">
        <v>655</v>
      </c>
      <c r="I103" s="475">
        <v>13190</v>
      </c>
      <c r="J103" s="475">
        <v>3</v>
      </c>
      <c r="K103" s="497">
        <v>0.17</v>
      </c>
      <c r="L103" s="477">
        <v>0</v>
      </c>
      <c r="M103" s="475">
        <v>0</v>
      </c>
      <c r="N103" s="498">
        <v>0</v>
      </c>
      <c r="O103" s="499">
        <v>0</v>
      </c>
      <c r="P103" s="309"/>
      <c r="Y103" s="168"/>
    </row>
    <row r="104" ht="16.5" customHeight="1" outlineLevel="2" spans="2:25">
      <c r="B104" s="470" t="s">
        <v>1726</v>
      </c>
      <c r="C104" s="471" t="s">
        <v>1727</v>
      </c>
      <c r="D104" s="470" t="s">
        <v>1728</v>
      </c>
      <c r="E104" s="290" t="s">
        <v>1374</v>
      </c>
      <c r="F104" s="290" t="s">
        <v>1537</v>
      </c>
      <c r="G104" s="200"/>
      <c r="H104" s="108" t="s">
        <v>655</v>
      </c>
      <c r="I104" s="475">
        <v>13190</v>
      </c>
      <c r="J104" s="475"/>
      <c r="K104" s="497">
        <v>0.17</v>
      </c>
      <c r="L104" s="477">
        <v>0</v>
      </c>
      <c r="M104" s="475">
        <v>0</v>
      </c>
      <c r="N104" s="498">
        <v>0</v>
      </c>
      <c r="O104" s="499">
        <v>0</v>
      </c>
      <c r="P104" s="309"/>
      <c r="Y104" s="168"/>
    </row>
    <row r="105" ht="16.5" customHeight="1" outlineLevel="2" spans="2:25">
      <c r="B105" s="470" t="s">
        <v>1729</v>
      </c>
      <c r="C105" s="471" t="s">
        <v>1730</v>
      </c>
      <c r="D105" s="470" t="s">
        <v>1731</v>
      </c>
      <c r="E105" s="290" t="s">
        <v>1375</v>
      </c>
      <c r="F105" s="290" t="s">
        <v>1537</v>
      </c>
      <c r="G105" s="200"/>
      <c r="H105" s="108" t="s">
        <v>655</v>
      </c>
      <c r="I105" s="475">
        <v>13190</v>
      </c>
      <c r="J105" s="475">
        <v>4</v>
      </c>
      <c r="K105" s="497">
        <v>0.17</v>
      </c>
      <c r="L105" s="477">
        <v>0</v>
      </c>
      <c r="M105" s="475">
        <v>0</v>
      </c>
      <c r="N105" s="498">
        <v>0</v>
      </c>
      <c r="O105" s="499">
        <v>0</v>
      </c>
      <c r="P105" s="309"/>
      <c r="Y105" s="168"/>
    </row>
    <row r="106" s="456" customFormat="1" ht="16.5" customHeight="1" outlineLevel="2" spans="2:16">
      <c r="B106" s="470" t="s">
        <v>1732</v>
      </c>
      <c r="C106" s="471" t="s">
        <v>1733</v>
      </c>
      <c r="D106" s="470" t="s">
        <v>1734</v>
      </c>
      <c r="E106" s="290" t="s">
        <v>1376</v>
      </c>
      <c r="F106" s="290" t="s">
        <v>1537</v>
      </c>
      <c r="G106" s="200"/>
      <c r="H106" s="108" t="s">
        <v>655</v>
      </c>
      <c r="I106" s="475">
        <v>13190</v>
      </c>
      <c r="J106" s="475">
        <v>12</v>
      </c>
      <c r="K106" s="497">
        <v>0.17</v>
      </c>
      <c r="L106" s="477">
        <v>0</v>
      </c>
      <c r="M106" s="475">
        <v>0</v>
      </c>
      <c r="N106" s="498">
        <v>0</v>
      </c>
      <c r="O106" s="499">
        <v>0</v>
      </c>
      <c r="P106" s="309"/>
    </row>
    <row r="107" ht="16.5" customHeight="1" outlineLevel="2" spans="2:25">
      <c r="B107" s="470" t="s">
        <v>1735</v>
      </c>
      <c r="C107" s="471" t="s">
        <v>1736</v>
      </c>
      <c r="D107" s="470" t="s">
        <v>1737</v>
      </c>
      <c r="E107" s="290" t="s">
        <v>1376</v>
      </c>
      <c r="F107" s="290" t="s">
        <v>1537</v>
      </c>
      <c r="G107" s="200"/>
      <c r="H107" s="108" t="s">
        <v>655</v>
      </c>
      <c r="I107" s="475">
        <v>13190</v>
      </c>
      <c r="J107" s="475">
        <v>2.5</v>
      </c>
      <c r="K107" s="497">
        <v>0.17</v>
      </c>
      <c r="L107" s="477">
        <v>0</v>
      </c>
      <c r="M107" s="475">
        <v>0</v>
      </c>
      <c r="N107" s="498">
        <v>0</v>
      </c>
      <c r="O107" s="499">
        <v>0</v>
      </c>
      <c r="P107" s="309"/>
      <c r="Y107" s="168"/>
    </row>
    <row r="108" ht="16.5" customHeight="1" outlineLevel="2" spans="2:25">
      <c r="B108" s="470"/>
      <c r="C108" s="471"/>
      <c r="D108" s="470"/>
      <c r="E108" s="470"/>
      <c r="F108" s="290"/>
      <c r="G108" s="200"/>
      <c r="H108" s="108"/>
      <c r="I108" s="475"/>
      <c r="J108" s="475">
        <v>0</v>
      </c>
      <c r="K108" s="497"/>
      <c r="L108" s="477"/>
      <c r="M108" s="475"/>
      <c r="N108" s="498"/>
      <c r="O108" s="499"/>
      <c r="P108" s="309"/>
      <c r="Y108" s="168"/>
    </row>
    <row r="109" ht="21" customHeight="1" outlineLevel="2" spans="2:25">
      <c r="B109" s="470"/>
      <c r="C109" s="471"/>
      <c r="D109" s="470"/>
      <c r="E109" s="470"/>
      <c r="F109" s="290"/>
      <c r="G109" s="200"/>
      <c r="H109" s="108"/>
      <c r="I109" s="475"/>
      <c r="J109" s="475">
        <v>0</v>
      </c>
      <c r="K109" s="497"/>
      <c r="L109" s="477"/>
      <c r="M109" s="475"/>
      <c r="N109" s="498"/>
      <c r="O109" s="499"/>
      <c r="P109" s="309"/>
      <c r="Y109" s="168"/>
    </row>
    <row r="110" ht="18.75" customHeight="1" outlineLevel="1" spans="2:25">
      <c r="B110" s="505" t="s">
        <v>1738</v>
      </c>
      <c r="C110" s="506">
        <v>2</v>
      </c>
      <c r="D110" s="505" t="s">
        <v>1739</v>
      </c>
      <c r="E110" s="193"/>
      <c r="F110" s="193"/>
      <c r="G110" s="193"/>
      <c r="H110" s="155"/>
      <c r="I110" s="492"/>
      <c r="J110" s="492"/>
      <c r="K110" s="492"/>
      <c r="L110" s="494">
        <v>0</v>
      </c>
      <c r="M110" s="494">
        <v>0</v>
      </c>
      <c r="N110" s="494">
        <v>0</v>
      </c>
      <c r="O110" s="495">
        <v>0</v>
      </c>
      <c r="P110" s="233"/>
      <c r="Y110" s="168"/>
    </row>
    <row r="111" ht="16.5" customHeight="1" outlineLevel="2" spans="2:25">
      <c r="B111" s="470" t="s">
        <v>1740</v>
      </c>
      <c r="C111" s="471" t="s">
        <v>619</v>
      </c>
      <c r="D111" s="507" t="s">
        <v>1741</v>
      </c>
      <c r="E111" s="290" t="s">
        <v>1377</v>
      </c>
      <c r="F111" s="290" t="s">
        <v>1537</v>
      </c>
      <c r="G111" s="200">
        <v>1</v>
      </c>
      <c r="H111" s="108" t="s">
        <v>655</v>
      </c>
      <c r="I111" s="475">
        <v>13190</v>
      </c>
      <c r="J111" s="475"/>
      <c r="K111" s="517">
        <v>0.17</v>
      </c>
      <c r="L111" s="477">
        <v>0</v>
      </c>
      <c r="M111" s="475">
        <v>0</v>
      </c>
      <c r="N111" s="498">
        <v>0</v>
      </c>
      <c r="O111" s="499">
        <v>0</v>
      </c>
      <c r="P111" s="309"/>
      <c r="Y111" s="168"/>
    </row>
    <row r="112" ht="16.5" customHeight="1" outlineLevel="2" spans="2:25">
      <c r="B112" s="470" t="s">
        <v>1742</v>
      </c>
      <c r="C112" s="471" t="s">
        <v>657</v>
      </c>
      <c r="D112" s="507" t="s">
        <v>1743</v>
      </c>
      <c r="E112" s="290" t="s">
        <v>1377</v>
      </c>
      <c r="F112" s="290" t="s">
        <v>1537</v>
      </c>
      <c r="G112" s="200">
        <v>1</v>
      </c>
      <c r="H112" s="108" t="s">
        <v>655</v>
      </c>
      <c r="I112" s="475">
        <v>13190</v>
      </c>
      <c r="J112" s="475"/>
      <c r="K112" s="517">
        <v>0.17</v>
      </c>
      <c r="L112" s="477">
        <v>0</v>
      </c>
      <c r="M112" s="475">
        <v>0</v>
      </c>
      <c r="N112" s="498">
        <v>0</v>
      </c>
      <c r="O112" s="499">
        <v>0</v>
      </c>
      <c r="P112" s="309"/>
      <c r="Y112" s="168"/>
    </row>
    <row r="113" ht="16.5" customHeight="1" outlineLevel="2" spans="2:25">
      <c r="B113" s="470" t="s">
        <v>1744</v>
      </c>
      <c r="C113" s="471" t="s">
        <v>762</v>
      </c>
      <c r="D113" s="507" t="s">
        <v>1745</v>
      </c>
      <c r="E113" s="290" t="s">
        <v>1377</v>
      </c>
      <c r="F113" s="290" t="s">
        <v>1537</v>
      </c>
      <c r="G113" s="200">
        <v>1</v>
      </c>
      <c r="H113" s="108" t="s">
        <v>655</v>
      </c>
      <c r="I113" s="475">
        <v>13190</v>
      </c>
      <c r="J113" s="475"/>
      <c r="K113" s="517">
        <v>0.17</v>
      </c>
      <c r="L113" s="477">
        <v>0</v>
      </c>
      <c r="M113" s="475">
        <v>0</v>
      </c>
      <c r="N113" s="498">
        <v>0</v>
      </c>
      <c r="O113" s="499">
        <v>0</v>
      </c>
      <c r="P113" s="309"/>
      <c r="Y113" s="168"/>
    </row>
    <row r="114" ht="16.5" customHeight="1" outlineLevel="1" spans="2:25">
      <c r="B114" s="505" t="s">
        <v>1746</v>
      </c>
      <c r="C114" s="506">
        <v>3</v>
      </c>
      <c r="D114" s="505" t="s">
        <v>1747</v>
      </c>
      <c r="E114" s="193"/>
      <c r="F114" s="193"/>
      <c r="G114" s="193"/>
      <c r="H114" s="155"/>
      <c r="I114" s="492"/>
      <c r="J114" s="492"/>
      <c r="K114" s="492"/>
      <c r="L114" s="494">
        <v>0</v>
      </c>
      <c r="M114" s="494">
        <v>0</v>
      </c>
      <c r="N114" s="494">
        <v>0</v>
      </c>
      <c r="O114" s="495">
        <v>0</v>
      </c>
      <c r="P114" s="233"/>
      <c r="Y114" s="168"/>
    </row>
    <row r="115" s="456" customFormat="1" ht="16.5" customHeight="1" outlineLevel="2" spans="2:16">
      <c r="B115" s="508" t="s">
        <v>1748</v>
      </c>
      <c r="C115" s="471" t="s">
        <v>619</v>
      </c>
      <c r="D115" s="470" t="s">
        <v>1747</v>
      </c>
      <c r="E115" s="470"/>
      <c r="F115" s="290"/>
      <c r="G115" s="200"/>
      <c r="H115" s="108"/>
      <c r="I115" s="475"/>
      <c r="J115" s="475">
        <v>0</v>
      </c>
      <c r="K115" s="517"/>
      <c r="L115" s="477"/>
      <c r="M115" s="475"/>
      <c r="N115" s="498"/>
      <c r="O115" s="499"/>
      <c r="P115" s="309"/>
    </row>
    <row r="116" s="456" customFormat="1" ht="16.5" customHeight="1" outlineLevel="2" spans="2:16">
      <c r="B116" s="508" t="s">
        <v>1749</v>
      </c>
      <c r="C116" s="471" t="s">
        <v>657</v>
      </c>
      <c r="D116" s="470" t="s">
        <v>1125</v>
      </c>
      <c r="E116" s="471" t="s">
        <v>1125</v>
      </c>
      <c r="F116" s="366"/>
      <c r="G116" s="366"/>
      <c r="H116" s="313"/>
      <c r="I116" s="518"/>
      <c r="J116" s="518">
        <v>0</v>
      </c>
      <c r="K116" s="519"/>
      <c r="L116" s="477">
        <v>0</v>
      </c>
      <c r="M116" s="475">
        <v>0</v>
      </c>
      <c r="N116" s="498">
        <v>0</v>
      </c>
      <c r="O116" s="499">
        <v>0</v>
      </c>
      <c r="P116" s="309"/>
    </row>
    <row r="117" ht="16.5" customHeight="1" outlineLevel="1" spans="2:25">
      <c r="B117" s="505" t="s">
        <v>1750</v>
      </c>
      <c r="C117" s="506">
        <v>4</v>
      </c>
      <c r="D117" s="505" t="s">
        <v>1751</v>
      </c>
      <c r="E117" s="193"/>
      <c r="F117" s="193"/>
      <c r="G117" s="193"/>
      <c r="H117" s="155"/>
      <c r="I117" s="492"/>
      <c r="J117" s="492"/>
      <c r="K117" s="493">
        <v>0.11</v>
      </c>
      <c r="L117" s="155">
        <v>0</v>
      </c>
      <c r="M117" s="155">
        <v>0</v>
      </c>
      <c r="N117" s="494">
        <v>0</v>
      </c>
      <c r="O117" s="495">
        <v>0</v>
      </c>
      <c r="P117" s="233"/>
      <c r="Y117" s="168"/>
    </row>
    <row r="118" ht="16.5" customHeight="1" spans="2:25">
      <c r="B118" s="468" t="s">
        <v>1752</v>
      </c>
      <c r="C118" s="469" t="s">
        <v>548</v>
      </c>
      <c r="D118" s="468" t="s">
        <v>483</v>
      </c>
      <c r="E118" s="192"/>
      <c r="F118" s="192"/>
      <c r="G118" s="192"/>
      <c r="H118" s="192"/>
      <c r="I118" s="488"/>
      <c r="J118" s="488"/>
      <c r="K118" s="520"/>
      <c r="L118" s="206">
        <v>1741.13311169092</v>
      </c>
      <c r="M118" s="206">
        <v>192.433042286001</v>
      </c>
      <c r="N118" s="206">
        <v>1933.56615397692</v>
      </c>
      <c r="O118" s="491">
        <v>1465.93339952761</v>
      </c>
      <c r="P118" s="230"/>
      <c r="Y118" s="168"/>
    </row>
    <row r="119" ht="16.5" customHeight="1" outlineLevel="1" spans="2:25">
      <c r="B119" s="505" t="s">
        <v>549</v>
      </c>
      <c r="C119" s="506">
        <v>1</v>
      </c>
      <c r="D119" s="505" t="s">
        <v>550</v>
      </c>
      <c r="E119" s="193"/>
      <c r="F119" s="193"/>
      <c r="G119" s="193"/>
      <c r="H119" s="155"/>
      <c r="I119" s="492"/>
      <c r="J119" s="492"/>
      <c r="K119" s="521"/>
      <c r="L119" s="155">
        <v>1495.41555076923</v>
      </c>
      <c r="M119" s="155">
        <v>164.495710584615</v>
      </c>
      <c r="N119" s="155">
        <v>1659.91126135385</v>
      </c>
      <c r="O119" s="495">
        <v>1258.4619115647</v>
      </c>
      <c r="P119" s="233"/>
      <c r="Y119" s="168"/>
    </row>
    <row r="120" ht="16.5" customHeight="1" outlineLevel="2" spans="2:25">
      <c r="B120" s="470" t="s">
        <v>1753</v>
      </c>
      <c r="C120" s="471" t="s">
        <v>619</v>
      </c>
      <c r="D120" s="507" t="s">
        <v>1754</v>
      </c>
      <c r="E120" s="290"/>
      <c r="F120" s="290"/>
      <c r="G120" s="292"/>
      <c r="H120" s="292"/>
      <c r="I120" s="475"/>
      <c r="J120" s="475">
        <v>0</v>
      </c>
      <c r="K120" s="517"/>
      <c r="L120" s="301">
        <v>1295.871</v>
      </c>
      <c r="M120" s="301">
        <v>142.54581</v>
      </c>
      <c r="N120" s="301">
        <v>1438.41681</v>
      </c>
      <c r="O120" s="499">
        <v>1090.53586808188</v>
      </c>
      <c r="P120" s="309"/>
      <c r="Y120" s="168"/>
    </row>
    <row r="121" ht="16.5" customHeight="1" outlineLevel="3" spans="2:25">
      <c r="B121" s="470" t="s">
        <v>1755</v>
      </c>
      <c r="C121" s="473" t="s">
        <v>622</v>
      </c>
      <c r="D121" s="507" t="s">
        <v>1756</v>
      </c>
      <c r="E121" s="290" t="s">
        <v>1380</v>
      </c>
      <c r="F121" s="290"/>
      <c r="G121" s="200"/>
      <c r="H121" s="503"/>
      <c r="I121" s="478"/>
      <c r="J121" s="478">
        <v>0</v>
      </c>
      <c r="K121" s="522"/>
      <c r="L121" s="477">
        <v>0</v>
      </c>
      <c r="M121" s="477">
        <v>0</v>
      </c>
      <c r="N121" s="477">
        <v>0</v>
      </c>
      <c r="O121" s="499">
        <v>0</v>
      </c>
      <c r="P121" s="523"/>
      <c r="Y121" s="168"/>
    </row>
    <row r="122" ht="16.5" customHeight="1" outlineLevel="3" spans="2:25">
      <c r="B122" s="470" t="s">
        <v>1757</v>
      </c>
      <c r="C122" s="473"/>
      <c r="D122" s="509" t="s">
        <v>1939</v>
      </c>
      <c r="E122" s="290"/>
      <c r="F122" s="290" t="s">
        <v>1537</v>
      </c>
      <c r="G122" s="510"/>
      <c r="H122" s="503" t="s">
        <v>1015</v>
      </c>
      <c r="I122" s="475">
        <v>13190</v>
      </c>
      <c r="J122" s="475">
        <v>6</v>
      </c>
      <c r="K122" s="517">
        <v>0.17</v>
      </c>
      <c r="L122" s="477">
        <v>0</v>
      </c>
      <c r="M122" s="477">
        <v>0</v>
      </c>
      <c r="N122" s="498">
        <v>0</v>
      </c>
      <c r="O122" s="499"/>
      <c r="P122" s="523"/>
      <c r="Y122" s="168"/>
    </row>
    <row r="123" ht="16.5" customHeight="1" outlineLevel="3" spans="2:25">
      <c r="B123" s="470" t="s">
        <v>1759</v>
      </c>
      <c r="C123" s="473"/>
      <c r="D123" s="509" t="s">
        <v>1760</v>
      </c>
      <c r="E123" s="290"/>
      <c r="F123" s="290" t="s">
        <v>1537</v>
      </c>
      <c r="G123" s="510"/>
      <c r="H123" s="503" t="s">
        <v>1015</v>
      </c>
      <c r="I123" s="475">
        <v>13190</v>
      </c>
      <c r="J123" s="475"/>
      <c r="K123" s="517">
        <v>0.17</v>
      </c>
      <c r="L123" s="477">
        <v>0</v>
      </c>
      <c r="M123" s="477">
        <v>0</v>
      </c>
      <c r="N123" s="498">
        <v>0</v>
      </c>
      <c r="O123" s="499"/>
      <c r="P123" s="523"/>
      <c r="Y123" s="168"/>
    </row>
    <row r="124" ht="16.5" customHeight="1" outlineLevel="3" spans="2:25">
      <c r="B124" s="470" t="s">
        <v>1761</v>
      </c>
      <c r="C124" s="473" t="s">
        <v>622</v>
      </c>
      <c r="D124" s="507" t="s">
        <v>1762</v>
      </c>
      <c r="E124" s="290" t="s">
        <v>1381</v>
      </c>
      <c r="F124" s="290"/>
      <c r="G124" s="200"/>
      <c r="H124" s="108"/>
      <c r="I124" s="478"/>
      <c r="J124" s="478">
        <v>0</v>
      </c>
      <c r="K124" s="522"/>
      <c r="L124" s="477">
        <v>0</v>
      </c>
      <c r="M124" s="477">
        <v>0</v>
      </c>
      <c r="N124" s="477">
        <v>0</v>
      </c>
      <c r="O124" s="499">
        <v>0</v>
      </c>
      <c r="P124" s="523"/>
      <c r="Y124" s="168"/>
    </row>
    <row r="125" ht="16.5" customHeight="1" outlineLevel="3" spans="2:25">
      <c r="B125" s="470" t="s">
        <v>1763</v>
      </c>
      <c r="C125" s="473"/>
      <c r="D125" s="509" t="s">
        <v>1943</v>
      </c>
      <c r="E125" s="290"/>
      <c r="F125" s="290" t="s">
        <v>1537</v>
      </c>
      <c r="G125" s="510"/>
      <c r="H125" s="503" t="s">
        <v>1015</v>
      </c>
      <c r="I125" s="475">
        <v>13190</v>
      </c>
      <c r="J125" s="475">
        <v>60</v>
      </c>
      <c r="K125" s="517">
        <v>0.11</v>
      </c>
      <c r="L125" s="477">
        <v>0</v>
      </c>
      <c r="M125" s="477">
        <v>0</v>
      </c>
      <c r="N125" s="498">
        <v>0</v>
      </c>
      <c r="O125" s="499"/>
      <c r="P125" s="523"/>
      <c r="Y125" s="168"/>
    </row>
    <row r="126" ht="16.5" customHeight="1" outlineLevel="3" spans="2:25">
      <c r="B126" s="470" t="s">
        <v>1765</v>
      </c>
      <c r="C126" s="473"/>
      <c r="D126" s="509" t="s">
        <v>1766</v>
      </c>
      <c r="E126" s="290"/>
      <c r="F126" s="290" t="s">
        <v>1537</v>
      </c>
      <c r="G126" s="510"/>
      <c r="H126" s="503" t="s">
        <v>1015</v>
      </c>
      <c r="I126" s="475">
        <v>13190</v>
      </c>
      <c r="J126" s="475"/>
      <c r="K126" s="517">
        <v>0.11</v>
      </c>
      <c r="L126" s="477">
        <v>0</v>
      </c>
      <c r="M126" s="477">
        <v>0</v>
      </c>
      <c r="N126" s="498">
        <v>0</v>
      </c>
      <c r="O126" s="499"/>
      <c r="P126" s="523"/>
      <c r="Y126" s="168"/>
    </row>
    <row r="127" ht="16.5" customHeight="1" outlineLevel="3" spans="2:25">
      <c r="B127" s="470" t="s">
        <v>1767</v>
      </c>
      <c r="C127" s="473" t="s">
        <v>622</v>
      </c>
      <c r="D127" s="507" t="s">
        <v>1768</v>
      </c>
      <c r="E127" s="479" t="s">
        <v>1382</v>
      </c>
      <c r="F127" s="479"/>
      <c r="G127" s="511">
        <v>0.8</v>
      </c>
      <c r="H127" s="503" t="s">
        <v>1015</v>
      </c>
      <c r="I127" s="478">
        <v>13190</v>
      </c>
      <c r="J127" s="560">
        <v>855.855855855856</v>
      </c>
      <c r="K127" s="522">
        <v>0.11</v>
      </c>
      <c r="L127" s="477">
        <v>903.099099099099</v>
      </c>
      <c r="M127" s="477">
        <v>99.3409009009009</v>
      </c>
      <c r="N127" s="498">
        <v>1002.44</v>
      </c>
      <c r="O127" s="499">
        <v>760</v>
      </c>
      <c r="P127" s="523"/>
      <c r="Y127" s="168"/>
    </row>
    <row r="128" ht="16.5" customHeight="1" outlineLevel="3" spans="2:25">
      <c r="B128" s="470" t="s">
        <v>1769</v>
      </c>
      <c r="C128" s="473" t="s">
        <v>622</v>
      </c>
      <c r="D128" s="507" t="s">
        <v>1770</v>
      </c>
      <c r="E128" s="479" t="s">
        <v>1383</v>
      </c>
      <c r="F128" s="479"/>
      <c r="G128" s="511"/>
      <c r="H128" s="477"/>
      <c r="I128" s="478"/>
      <c r="J128" s="478">
        <v>0</v>
      </c>
      <c r="K128" s="522">
        <v>0.11</v>
      </c>
      <c r="L128" s="477">
        <v>0</v>
      </c>
      <c r="M128" s="477">
        <v>0</v>
      </c>
      <c r="N128" s="498">
        <v>0</v>
      </c>
      <c r="O128" s="499">
        <v>0</v>
      </c>
      <c r="P128" s="523"/>
      <c r="Y128" s="168"/>
    </row>
    <row r="129" ht="16.5" customHeight="1" outlineLevel="3" spans="2:25">
      <c r="B129" s="470" t="s">
        <v>1771</v>
      </c>
      <c r="C129" s="473" t="s">
        <v>622</v>
      </c>
      <c r="D129" s="507" t="s">
        <v>1772</v>
      </c>
      <c r="E129" s="479" t="s">
        <v>1384</v>
      </c>
      <c r="F129" s="479"/>
      <c r="G129" s="511">
        <v>0.4</v>
      </c>
      <c r="H129" s="503" t="s">
        <v>1015</v>
      </c>
      <c r="I129" s="475">
        <v>13190</v>
      </c>
      <c r="J129" s="560">
        <v>675.675675675676</v>
      </c>
      <c r="K129" s="517">
        <v>0.11</v>
      </c>
      <c r="L129" s="477">
        <v>356.486486486486</v>
      </c>
      <c r="M129" s="477">
        <v>39.2135135135135</v>
      </c>
      <c r="N129" s="498">
        <v>395.7</v>
      </c>
      <c r="O129" s="499">
        <v>300</v>
      </c>
      <c r="P129" s="523"/>
      <c r="Y129" s="168"/>
    </row>
    <row r="130" ht="16.5" customHeight="1" outlineLevel="3" spans="2:25">
      <c r="B130" s="470" t="s">
        <v>1773</v>
      </c>
      <c r="C130" s="473" t="s">
        <v>622</v>
      </c>
      <c r="D130" s="507" t="s">
        <v>1774</v>
      </c>
      <c r="E130" s="479" t="s">
        <v>1385</v>
      </c>
      <c r="F130" s="479"/>
      <c r="G130" s="512"/>
      <c r="H130" s="477"/>
      <c r="I130" s="478"/>
      <c r="J130" s="478">
        <v>0</v>
      </c>
      <c r="K130" s="522">
        <v>0.17</v>
      </c>
      <c r="L130" s="477">
        <v>0</v>
      </c>
      <c r="M130" s="477">
        <v>0</v>
      </c>
      <c r="N130" s="498">
        <v>0</v>
      </c>
      <c r="O130" s="499">
        <v>0</v>
      </c>
      <c r="P130" s="523"/>
      <c r="Y130" s="168"/>
    </row>
    <row r="131" ht="16.5" customHeight="1" outlineLevel="3" spans="2:25">
      <c r="B131" s="470" t="s">
        <v>1775</v>
      </c>
      <c r="C131" s="473" t="s">
        <v>622</v>
      </c>
      <c r="D131" s="507" t="s">
        <v>1776</v>
      </c>
      <c r="E131" s="479" t="s">
        <v>774</v>
      </c>
      <c r="F131" s="479"/>
      <c r="G131" s="511"/>
      <c r="H131" s="477"/>
      <c r="I131" s="475"/>
      <c r="J131" s="475">
        <v>0</v>
      </c>
      <c r="K131" s="517">
        <v>0.11</v>
      </c>
      <c r="L131" s="477">
        <v>0</v>
      </c>
      <c r="M131" s="477">
        <v>0</v>
      </c>
      <c r="N131" s="498">
        <v>0</v>
      </c>
      <c r="O131" s="499">
        <v>0</v>
      </c>
      <c r="P131" s="523"/>
      <c r="Y131" s="168"/>
    </row>
    <row r="132" ht="16.5" customHeight="1" outlineLevel="3" spans="2:25">
      <c r="B132" s="470" t="s">
        <v>1777</v>
      </c>
      <c r="C132" s="473" t="s">
        <v>622</v>
      </c>
      <c r="D132" s="507" t="s">
        <v>1778</v>
      </c>
      <c r="E132" s="479" t="s">
        <v>1387</v>
      </c>
      <c r="F132" s="479" t="s">
        <v>602</v>
      </c>
      <c r="G132" s="513">
        <v>2</v>
      </c>
      <c r="H132" s="503" t="s">
        <v>1832</v>
      </c>
      <c r="I132" s="475">
        <v>1</v>
      </c>
      <c r="J132" s="560">
        <v>72072.0720720721</v>
      </c>
      <c r="K132" s="517">
        <v>0.11</v>
      </c>
      <c r="L132" s="477">
        <v>14.4144144144144</v>
      </c>
      <c r="M132" s="477">
        <v>1.58558558558559</v>
      </c>
      <c r="N132" s="498">
        <v>16</v>
      </c>
      <c r="O132" s="499">
        <v>12.1304018195603</v>
      </c>
      <c r="P132" s="309"/>
      <c r="Y132" s="168"/>
    </row>
    <row r="133" ht="16.5" customHeight="1" outlineLevel="3" spans="2:25">
      <c r="B133" s="470" t="s">
        <v>1780</v>
      </c>
      <c r="C133" s="473" t="s">
        <v>622</v>
      </c>
      <c r="D133" s="507" t="s">
        <v>1781</v>
      </c>
      <c r="E133" s="479" t="s">
        <v>1388</v>
      </c>
      <c r="F133" s="479" t="s">
        <v>1782</v>
      </c>
      <c r="G133" s="510">
        <v>1</v>
      </c>
      <c r="H133" s="524"/>
      <c r="I133" s="475">
        <v>1</v>
      </c>
      <c r="J133" s="475">
        <v>100000</v>
      </c>
      <c r="K133" s="517">
        <v>0.11</v>
      </c>
      <c r="L133" s="477">
        <v>10</v>
      </c>
      <c r="M133" s="477">
        <v>1.1</v>
      </c>
      <c r="N133" s="498">
        <v>11.1</v>
      </c>
      <c r="O133" s="499">
        <v>8.41546626231994</v>
      </c>
      <c r="P133" s="309"/>
      <c r="Y133" s="168"/>
    </row>
    <row r="134" ht="16.5" customHeight="1" outlineLevel="3" spans="2:25">
      <c r="B134" s="470" t="s">
        <v>1783</v>
      </c>
      <c r="C134" s="473" t="s">
        <v>622</v>
      </c>
      <c r="D134" s="507" t="s">
        <v>1784</v>
      </c>
      <c r="E134" s="479" t="s">
        <v>1387</v>
      </c>
      <c r="F134" s="479" t="s">
        <v>601</v>
      </c>
      <c r="G134" s="510">
        <v>0</v>
      </c>
      <c r="H134" s="524" t="s">
        <v>1785</v>
      </c>
      <c r="I134" s="475">
        <v>350</v>
      </c>
      <c r="J134" s="475">
        <v>207.21</v>
      </c>
      <c r="K134" s="517">
        <v>0.11</v>
      </c>
      <c r="L134" s="477">
        <v>0</v>
      </c>
      <c r="M134" s="477">
        <v>0</v>
      </c>
      <c r="N134" s="498">
        <v>0</v>
      </c>
      <c r="O134" s="499">
        <v>0</v>
      </c>
      <c r="P134" s="309"/>
      <c r="Y134" s="168"/>
    </row>
    <row r="135" ht="16.5" customHeight="1" outlineLevel="3" spans="2:25">
      <c r="B135" s="470" t="s">
        <v>1786</v>
      </c>
      <c r="C135" s="473" t="s">
        <v>622</v>
      </c>
      <c r="D135" s="507" t="s">
        <v>546</v>
      </c>
      <c r="E135" s="479" t="s">
        <v>774</v>
      </c>
      <c r="F135" s="290" t="s">
        <v>1537</v>
      </c>
      <c r="G135" s="510">
        <v>1</v>
      </c>
      <c r="H135" s="524" t="s">
        <v>655</v>
      </c>
      <c r="I135" s="475">
        <v>13190</v>
      </c>
      <c r="J135" s="475">
        <v>9</v>
      </c>
      <c r="K135" s="517">
        <v>0.11</v>
      </c>
      <c r="L135" s="477">
        <v>11.871</v>
      </c>
      <c r="M135" s="477">
        <v>1.30581</v>
      </c>
      <c r="N135" s="498">
        <v>13.17681</v>
      </c>
      <c r="O135" s="499">
        <v>9.99</v>
      </c>
      <c r="P135" s="309"/>
      <c r="Y135" s="168"/>
    </row>
    <row r="136" ht="16.5" customHeight="1" outlineLevel="2" spans="2:25">
      <c r="B136" s="470" t="s">
        <v>1788</v>
      </c>
      <c r="C136" s="471" t="s">
        <v>657</v>
      </c>
      <c r="D136" s="507" t="s">
        <v>1789</v>
      </c>
      <c r="E136" s="290"/>
      <c r="F136" s="290"/>
      <c r="G136" s="292"/>
      <c r="H136" s="292"/>
      <c r="I136" s="475"/>
      <c r="J136" s="475">
        <v>0</v>
      </c>
      <c r="K136" s="517"/>
      <c r="L136" s="301">
        <v>59.7212307692308</v>
      </c>
      <c r="M136" s="301">
        <v>6.56933538461538</v>
      </c>
      <c r="N136" s="301">
        <v>66.2905661538461</v>
      </c>
      <c r="O136" s="499">
        <v>50.2582002682685</v>
      </c>
      <c r="P136" s="309"/>
      <c r="Y136" s="168"/>
    </row>
    <row r="137" ht="16.5" customHeight="1" outlineLevel="3" spans="2:25">
      <c r="B137" s="470" t="s">
        <v>1790</v>
      </c>
      <c r="C137" s="473" t="s">
        <v>622</v>
      </c>
      <c r="D137" s="507" t="s">
        <v>1791</v>
      </c>
      <c r="E137" s="479" t="s">
        <v>1387</v>
      </c>
      <c r="F137" s="479" t="s">
        <v>1792</v>
      </c>
      <c r="G137" s="525">
        <v>21.42</v>
      </c>
      <c r="H137" s="503" t="s">
        <v>1793</v>
      </c>
      <c r="I137" s="475">
        <v>14</v>
      </c>
      <c r="J137" s="475">
        <v>126.126126126126</v>
      </c>
      <c r="K137" s="517">
        <v>0.11</v>
      </c>
      <c r="L137" s="477">
        <v>3.78227027027027</v>
      </c>
      <c r="M137" s="477">
        <v>0.41604972972973</v>
      </c>
      <c r="N137" s="498">
        <v>4.19832</v>
      </c>
      <c r="O137" s="499">
        <v>3.18295678544352</v>
      </c>
      <c r="P137" s="309"/>
      <c r="Y137" s="168"/>
    </row>
    <row r="138" ht="16.5" customHeight="1" outlineLevel="3" spans="2:25">
      <c r="B138" s="470" t="s">
        <v>1794</v>
      </c>
      <c r="C138" s="473" t="s">
        <v>622</v>
      </c>
      <c r="D138" s="507" t="s">
        <v>1795</v>
      </c>
      <c r="E138" s="479" t="s">
        <v>1387</v>
      </c>
      <c r="F138" s="479"/>
      <c r="G138" s="525"/>
      <c r="H138" s="292"/>
      <c r="I138" s="475"/>
      <c r="J138" s="475">
        <v>0</v>
      </c>
      <c r="K138" s="517">
        <v>0.11</v>
      </c>
      <c r="L138" s="477">
        <v>0</v>
      </c>
      <c r="M138" s="477">
        <v>0</v>
      </c>
      <c r="N138" s="498">
        <v>0</v>
      </c>
      <c r="O138" s="499">
        <v>0</v>
      </c>
      <c r="P138" s="309"/>
      <c r="Y138" s="168"/>
    </row>
    <row r="139" ht="16.5" customHeight="1" outlineLevel="3" spans="2:25">
      <c r="B139" s="470" t="s">
        <v>1796</v>
      </c>
      <c r="C139" s="473" t="s">
        <v>622</v>
      </c>
      <c r="D139" s="507" t="s">
        <v>1797</v>
      </c>
      <c r="E139" s="479" t="s">
        <v>1387</v>
      </c>
      <c r="F139" s="479" t="s">
        <v>601</v>
      </c>
      <c r="G139" s="525">
        <v>7.6</v>
      </c>
      <c r="H139" s="292" t="s">
        <v>1637</v>
      </c>
      <c r="I139" s="560">
        <v>134.615384615385</v>
      </c>
      <c r="J139" s="475">
        <v>157.657657657658</v>
      </c>
      <c r="K139" s="517">
        <v>0.11</v>
      </c>
      <c r="L139" s="477">
        <v>16.1295911295911</v>
      </c>
      <c r="M139" s="477">
        <v>1.77425502425502</v>
      </c>
      <c r="N139" s="498">
        <v>17.9038461538461</v>
      </c>
      <c r="O139" s="499">
        <v>13.5738029976089</v>
      </c>
      <c r="P139" s="309"/>
      <c r="Y139" s="168"/>
    </row>
    <row r="140" ht="16.5" customHeight="1" outlineLevel="3" spans="2:25">
      <c r="B140" s="470" t="s">
        <v>1798</v>
      </c>
      <c r="C140" s="473" t="s">
        <v>622</v>
      </c>
      <c r="D140" s="507" t="s">
        <v>1799</v>
      </c>
      <c r="E140" s="479" t="s">
        <v>1386</v>
      </c>
      <c r="F140" s="479" t="s">
        <v>601</v>
      </c>
      <c r="G140" s="510">
        <v>3</v>
      </c>
      <c r="H140" s="524" t="s">
        <v>1637</v>
      </c>
      <c r="I140" s="475">
        <v>350</v>
      </c>
      <c r="J140" s="560">
        <v>225.225225225225</v>
      </c>
      <c r="K140" s="517">
        <v>0.11</v>
      </c>
      <c r="L140" s="477">
        <v>23.6486486486486</v>
      </c>
      <c r="M140" s="477">
        <v>2.60135135135135</v>
      </c>
      <c r="N140" s="498">
        <v>26.25</v>
      </c>
      <c r="O140" s="499">
        <v>19.9014404852161</v>
      </c>
      <c r="P140" s="309"/>
      <c r="Y140" s="168"/>
    </row>
    <row r="141" ht="16.5" customHeight="1" outlineLevel="3" spans="2:25">
      <c r="B141" s="470" t="s">
        <v>1800</v>
      </c>
      <c r="C141" s="473" t="s">
        <v>622</v>
      </c>
      <c r="D141" s="507" t="s">
        <v>1801</v>
      </c>
      <c r="E141" s="479" t="s">
        <v>1387</v>
      </c>
      <c r="F141" s="479" t="s">
        <v>601</v>
      </c>
      <c r="G141" s="511">
        <v>0.08</v>
      </c>
      <c r="H141" s="292" t="s">
        <v>655</v>
      </c>
      <c r="I141" s="475">
        <v>13190</v>
      </c>
      <c r="J141" s="475">
        <v>153.153153153153</v>
      </c>
      <c r="K141" s="517">
        <v>0.11</v>
      </c>
      <c r="L141" s="477">
        <v>16.1607207207207</v>
      </c>
      <c r="M141" s="477">
        <v>1.77767927927928</v>
      </c>
      <c r="N141" s="498">
        <v>17.9384</v>
      </c>
      <c r="O141" s="499">
        <v>13.6</v>
      </c>
      <c r="P141" s="309"/>
      <c r="Y141" s="168"/>
    </row>
    <row r="142" ht="16.5" customHeight="1" outlineLevel="2" spans="2:25">
      <c r="B142" s="470" t="s">
        <v>1802</v>
      </c>
      <c r="C142" s="471" t="s">
        <v>762</v>
      </c>
      <c r="D142" s="507" t="s">
        <v>1803</v>
      </c>
      <c r="E142" s="290"/>
      <c r="F142" s="290"/>
      <c r="G142" s="292"/>
      <c r="H142" s="292"/>
      <c r="I142" s="475"/>
      <c r="J142" s="475">
        <v>0</v>
      </c>
      <c r="K142" s="517"/>
      <c r="L142" s="301">
        <v>93.164</v>
      </c>
      <c r="M142" s="301">
        <v>10.24804</v>
      </c>
      <c r="N142" s="301">
        <v>103.41204</v>
      </c>
      <c r="O142" s="499">
        <v>78.4018498862775</v>
      </c>
      <c r="P142" s="309"/>
      <c r="Y142" s="168"/>
    </row>
    <row r="143" ht="16.5" customHeight="1" outlineLevel="3" spans="2:25">
      <c r="B143" s="470" t="s">
        <v>1804</v>
      </c>
      <c r="C143" s="473" t="s">
        <v>622</v>
      </c>
      <c r="D143" s="507" t="s">
        <v>1805</v>
      </c>
      <c r="E143" s="479" t="s">
        <v>1386</v>
      </c>
      <c r="F143" s="479" t="s">
        <v>602</v>
      </c>
      <c r="G143" s="502">
        <v>2</v>
      </c>
      <c r="H143" s="503" t="s">
        <v>1806</v>
      </c>
      <c r="I143" s="475">
        <v>1</v>
      </c>
      <c r="J143" s="560">
        <v>25000</v>
      </c>
      <c r="K143" s="517">
        <v>0.11</v>
      </c>
      <c r="L143" s="477">
        <v>5</v>
      </c>
      <c r="M143" s="477">
        <v>0.55</v>
      </c>
      <c r="N143" s="498">
        <v>5.55</v>
      </c>
      <c r="O143" s="499">
        <v>4.20773313115997</v>
      </c>
      <c r="P143" s="309"/>
      <c r="Y143" s="168"/>
    </row>
    <row r="144" ht="16.5" customHeight="1" outlineLevel="3" spans="2:25">
      <c r="B144" s="470" t="s">
        <v>1807</v>
      </c>
      <c r="C144" s="473" t="s">
        <v>622</v>
      </c>
      <c r="D144" s="507" t="s">
        <v>1944</v>
      </c>
      <c r="E144" s="479" t="s">
        <v>1389</v>
      </c>
      <c r="F144" s="479" t="s">
        <v>601</v>
      </c>
      <c r="G144" s="525">
        <v>1</v>
      </c>
      <c r="H144" s="292" t="s">
        <v>1809</v>
      </c>
      <c r="I144" s="475">
        <v>350</v>
      </c>
      <c r="J144" s="560">
        <v>2100</v>
      </c>
      <c r="K144" s="517">
        <v>0.11</v>
      </c>
      <c r="L144" s="477">
        <v>73.5</v>
      </c>
      <c r="M144" s="477">
        <v>8.085</v>
      </c>
      <c r="N144" s="498">
        <v>81.585</v>
      </c>
      <c r="O144" s="499">
        <v>61.8536770280516</v>
      </c>
      <c r="P144" s="309"/>
      <c r="Y144" s="168"/>
    </row>
    <row r="145" ht="16.5" customHeight="1" outlineLevel="3" spans="2:25">
      <c r="B145" s="470" t="s">
        <v>1810</v>
      </c>
      <c r="C145" s="473" t="s">
        <v>622</v>
      </c>
      <c r="D145" s="507" t="s">
        <v>1811</v>
      </c>
      <c r="E145" s="290" t="s">
        <v>931</v>
      </c>
      <c r="F145" s="479" t="s">
        <v>1792</v>
      </c>
      <c r="G145" s="525">
        <v>12</v>
      </c>
      <c r="H145" s="503" t="s">
        <v>821</v>
      </c>
      <c r="I145" s="475">
        <v>13</v>
      </c>
      <c r="J145" s="475">
        <v>940</v>
      </c>
      <c r="K145" s="517">
        <v>0.11</v>
      </c>
      <c r="L145" s="477">
        <v>14.664</v>
      </c>
      <c r="M145" s="477">
        <v>1.61304</v>
      </c>
      <c r="N145" s="498">
        <v>16.27704</v>
      </c>
      <c r="O145" s="499">
        <v>12.340439727066</v>
      </c>
      <c r="P145" s="309"/>
      <c r="Y145" s="168"/>
    </row>
    <row r="146" ht="16.5" customHeight="1" outlineLevel="3" spans="2:25">
      <c r="B146" s="470" t="s">
        <v>1812</v>
      </c>
      <c r="C146" s="473" t="s">
        <v>622</v>
      </c>
      <c r="D146" s="507" t="s">
        <v>1813</v>
      </c>
      <c r="E146" s="479" t="s">
        <v>1386</v>
      </c>
      <c r="F146" s="290" t="s">
        <v>1537</v>
      </c>
      <c r="G146" s="510"/>
      <c r="H146" s="503" t="s">
        <v>1015</v>
      </c>
      <c r="I146" s="475">
        <v>13190</v>
      </c>
      <c r="J146" s="475">
        <v>490</v>
      </c>
      <c r="K146" s="517">
        <v>0.11</v>
      </c>
      <c r="L146" s="477">
        <v>0</v>
      </c>
      <c r="M146" s="477">
        <v>0</v>
      </c>
      <c r="N146" s="498">
        <v>0</v>
      </c>
      <c r="O146" s="499">
        <v>0</v>
      </c>
      <c r="P146" s="309"/>
      <c r="Y146" s="168"/>
    </row>
    <row r="147" ht="16.5" customHeight="1" outlineLevel="2" spans="2:25">
      <c r="B147" s="470" t="s">
        <v>1814</v>
      </c>
      <c r="C147" s="471" t="s">
        <v>778</v>
      </c>
      <c r="D147" s="507" t="s">
        <v>1815</v>
      </c>
      <c r="E147" s="290"/>
      <c r="F147" s="290"/>
      <c r="G147" s="292"/>
      <c r="H147" s="292"/>
      <c r="I147" s="475"/>
      <c r="J147" s="475">
        <v>0</v>
      </c>
      <c r="K147" s="517"/>
      <c r="L147" s="301">
        <v>46.65932</v>
      </c>
      <c r="M147" s="301">
        <v>5.1325252</v>
      </c>
      <c r="N147" s="301">
        <v>51.7918452</v>
      </c>
      <c r="O147" s="499">
        <v>39.265993328279</v>
      </c>
      <c r="P147" s="309"/>
      <c r="Y147" s="168"/>
    </row>
    <row r="148" ht="16.5" customHeight="1" outlineLevel="3" spans="2:25">
      <c r="B148" s="470" t="s">
        <v>1816</v>
      </c>
      <c r="C148" s="473" t="s">
        <v>622</v>
      </c>
      <c r="D148" s="526" t="s">
        <v>1817</v>
      </c>
      <c r="E148" s="502" t="s">
        <v>774</v>
      </c>
      <c r="F148" s="502" t="s">
        <v>862</v>
      </c>
      <c r="G148" s="502">
        <v>1</v>
      </c>
      <c r="H148" s="292" t="s">
        <v>1015</v>
      </c>
      <c r="I148" s="475">
        <v>1300</v>
      </c>
      <c r="J148" s="475">
        <v>225</v>
      </c>
      <c r="K148" s="517">
        <v>0.11</v>
      </c>
      <c r="L148" s="477">
        <v>29.25</v>
      </c>
      <c r="M148" s="477">
        <v>3.2175</v>
      </c>
      <c r="N148" s="498">
        <v>32.4675</v>
      </c>
      <c r="O148" s="499">
        <v>24.6152388172858</v>
      </c>
      <c r="P148" s="309"/>
      <c r="Y148" s="168"/>
    </row>
    <row r="149" ht="16.5" customHeight="1" outlineLevel="3" spans="2:25">
      <c r="B149" s="470" t="s">
        <v>1818</v>
      </c>
      <c r="C149" s="473" t="s">
        <v>622</v>
      </c>
      <c r="D149" s="526" t="s">
        <v>1819</v>
      </c>
      <c r="E149" s="502" t="s">
        <v>774</v>
      </c>
      <c r="F149" s="290" t="s">
        <v>1537</v>
      </c>
      <c r="G149" s="502">
        <v>1</v>
      </c>
      <c r="H149" s="292" t="s">
        <v>1015</v>
      </c>
      <c r="I149" s="475">
        <v>13190</v>
      </c>
      <c r="J149" s="475">
        <v>9</v>
      </c>
      <c r="K149" s="517">
        <v>0.11</v>
      </c>
      <c r="L149" s="477">
        <v>11.871</v>
      </c>
      <c r="M149" s="477">
        <v>1.30581</v>
      </c>
      <c r="N149" s="498">
        <v>13.17681</v>
      </c>
      <c r="O149" s="499">
        <v>9.99</v>
      </c>
      <c r="P149" s="309"/>
      <c r="Y149" s="168"/>
    </row>
    <row r="150" ht="16.5" customHeight="1" outlineLevel="3" spans="2:25">
      <c r="B150" s="470" t="s">
        <v>1820</v>
      </c>
      <c r="C150" s="473" t="s">
        <v>622</v>
      </c>
      <c r="D150" s="526" t="s">
        <v>1821</v>
      </c>
      <c r="E150" s="502" t="s">
        <v>1390</v>
      </c>
      <c r="F150" s="502"/>
      <c r="G150" s="502"/>
      <c r="H150" s="524"/>
      <c r="I150" s="475"/>
      <c r="J150" s="475">
        <v>0</v>
      </c>
      <c r="K150" s="517">
        <v>0.17</v>
      </c>
      <c r="L150" s="477">
        <v>0</v>
      </c>
      <c r="M150" s="477">
        <v>0</v>
      </c>
      <c r="N150" s="498">
        <v>0</v>
      </c>
      <c r="O150" s="499">
        <v>0</v>
      </c>
      <c r="P150" s="309"/>
      <c r="Y150" s="168"/>
    </row>
    <row r="151" ht="16.5" customHeight="1" outlineLevel="3" spans="2:25">
      <c r="B151" s="470" t="s">
        <v>1822</v>
      </c>
      <c r="C151" s="473" t="s">
        <v>622</v>
      </c>
      <c r="D151" s="526" t="s">
        <v>1823</v>
      </c>
      <c r="E151" s="290" t="s">
        <v>1073</v>
      </c>
      <c r="F151" s="290" t="s">
        <v>1537</v>
      </c>
      <c r="G151" s="510">
        <v>1</v>
      </c>
      <c r="H151" s="503" t="s">
        <v>655</v>
      </c>
      <c r="I151" s="475">
        <v>13190</v>
      </c>
      <c r="J151" s="475">
        <v>1.28</v>
      </c>
      <c r="K151" s="517">
        <v>0.11</v>
      </c>
      <c r="L151" s="477">
        <v>1.68832</v>
      </c>
      <c r="M151" s="477">
        <v>0.1857152</v>
      </c>
      <c r="N151" s="498">
        <v>1.8740352</v>
      </c>
      <c r="O151" s="499">
        <v>1.4208</v>
      </c>
      <c r="P151" s="309"/>
      <c r="Y151" s="168"/>
    </row>
    <row r="152" ht="16.5" customHeight="1" outlineLevel="3" spans="2:25">
      <c r="B152" s="470" t="s">
        <v>1824</v>
      </c>
      <c r="C152" s="473" t="s">
        <v>622</v>
      </c>
      <c r="D152" s="526" t="s">
        <v>1825</v>
      </c>
      <c r="E152" s="479" t="s">
        <v>1391</v>
      </c>
      <c r="F152" s="479" t="s">
        <v>601</v>
      </c>
      <c r="G152" s="502">
        <v>1</v>
      </c>
      <c r="H152" s="524" t="s">
        <v>1826</v>
      </c>
      <c r="I152" s="475">
        <v>350</v>
      </c>
      <c r="J152" s="475">
        <v>110</v>
      </c>
      <c r="K152" s="517">
        <v>0.11</v>
      </c>
      <c r="L152" s="477">
        <v>3.85</v>
      </c>
      <c r="M152" s="477">
        <v>0.4235</v>
      </c>
      <c r="N152" s="498">
        <v>4.2735</v>
      </c>
      <c r="O152" s="499">
        <v>3.23995451099318</v>
      </c>
      <c r="P152" s="309"/>
      <c r="Y152" s="168"/>
    </row>
    <row r="153" ht="16.5" customHeight="1" outlineLevel="3" spans="2:25">
      <c r="B153" s="470"/>
      <c r="C153" s="473"/>
      <c r="D153" s="526"/>
      <c r="E153" s="290"/>
      <c r="F153" s="290"/>
      <c r="G153" s="510"/>
      <c r="H153" s="503"/>
      <c r="I153" s="475"/>
      <c r="J153" s="475">
        <v>0</v>
      </c>
      <c r="K153" s="517"/>
      <c r="L153" s="524"/>
      <c r="M153" s="524"/>
      <c r="N153" s="498"/>
      <c r="O153" s="499"/>
      <c r="P153" s="309"/>
      <c r="Y153" s="168"/>
    </row>
    <row r="154" ht="16.5" customHeight="1" outlineLevel="1" spans="2:25">
      <c r="B154" s="121" t="s">
        <v>551</v>
      </c>
      <c r="C154" s="193">
        <v>2</v>
      </c>
      <c r="D154" s="121" t="s">
        <v>552</v>
      </c>
      <c r="E154" s="193"/>
      <c r="F154" s="193"/>
      <c r="G154" s="193"/>
      <c r="H154" s="155"/>
      <c r="I154" s="492"/>
      <c r="J154" s="492"/>
      <c r="K154" s="521"/>
      <c r="L154" s="155">
        <v>146.818306306306</v>
      </c>
      <c r="M154" s="155">
        <v>17.0303336936937</v>
      </c>
      <c r="N154" s="155">
        <v>163.84864</v>
      </c>
      <c r="O154" s="495">
        <v>124.22186504928</v>
      </c>
      <c r="P154" s="233"/>
      <c r="Y154" s="168"/>
    </row>
    <row r="155" ht="16.5" customHeight="1" outlineLevel="2" spans="2:25">
      <c r="B155" s="470" t="s">
        <v>1828</v>
      </c>
      <c r="C155" s="471" t="s">
        <v>619</v>
      </c>
      <c r="D155" s="507" t="s">
        <v>1829</v>
      </c>
      <c r="E155" s="290"/>
      <c r="F155" s="290"/>
      <c r="G155" s="292"/>
      <c r="H155" s="292"/>
      <c r="I155" s="475"/>
      <c r="J155" s="475">
        <v>0</v>
      </c>
      <c r="K155" s="517"/>
      <c r="L155" s="301">
        <v>12.56</v>
      </c>
      <c r="M155" s="301">
        <v>1.444</v>
      </c>
      <c r="N155" s="475">
        <v>14.004</v>
      </c>
      <c r="O155" s="499">
        <v>10.6171341925701</v>
      </c>
      <c r="P155" s="309"/>
      <c r="Y155" s="168"/>
    </row>
    <row r="156" ht="16.5" customHeight="1" outlineLevel="3" spans="2:25">
      <c r="B156" s="470" t="s">
        <v>1830</v>
      </c>
      <c r="C156" s="473" t="s">
        <v>622</v>
      </c>
      <c r="D156" s="527" t="s">
        <v>1831</v>
      </c>
      <c r="E156" s="290" t="s">
        <v>1363</v>
      </c>
      <c r="F156" s="290" t="s">
        <v>602</v>
      </c>
      <c r="G156" s="292">
        <v>80</v>
      </c>
      <c r="H156" s="503" t="s">
        <v>1832</v>
      </c>
      <c r="I156" s="475">
        <v>1</v>
      </c>
      <c r="J156" s="475">
        <v>1440</v>
      </c>
      <c r="K156" s="517">
        <v>0.11</v>
      </c>
      <c r="L156" s="477">
        <v>11.52</v>
      </c>
      <c r="M156" s="477">
        <v>1.2672</v>
      </c>
      <c r="N156" s="498">
        <v>12.7872</v>
      </c>
      <c r="O156" s="499">
        <v>9.69461713419257</v>
      </c>
      <c r="P156" s="309"/>
      <c r="Q156" s="168">
        <v>1750.5</v>
      </c>
      <c r="Y156" s="168"/>
    </row>
    <row r="157" ht="16.5" customHeight="1" outlineLevel="3" spans="2:25">
      <c r="B157" s="470" t="s">
        <v>1833</v>
      </c>
      <c r="C157" s="473" t="s">
        <v>622</v>
      </c>
      <c r="D157" s="527" t="s">
        <v>1834</v>
      </c>
      <c r="E157" s="290" t="s">
        <v>1371</v>
      </c>
      <c r="F157" s="290" t="s">
        <v>602</v>
      </c>
      <c r="G157" s="292">
        <v>80</v>
      </c>
      <c r="H157" s="503" t="s">
        <v>1832</v>
      </c>
      <c r="I157" s="475">
        <v>1</v>
      </c>
      <c r="J157" s="475">
        <v>100</v>
      </c>
      <c r="K157" s="517">
        <v>0.17</v>
      </c>
      <c r="L157" s="477">
        <v>0.8</v>
      </c>
      <c r="M157" s="477">
        <v>0.136</v>
      </c>
      <c r="N157" s="498">
        <v>0.936</v>
      </c>
      <c r="O157" s="499">
        <v>0.709628506444276</v>
      </c>
      <c r="P157" s="309"/>
      <c r="Y157" s="168"/>
    </row>
    <row r="158" ht="16.5" customHeight="1" outlineLevel="3" spans="2:25">
      <c r="B158" s="470" t="s">
        <v>1835</v>
      </c>
      <c r="C158" s="473" t="s">
        <v>622</v>
      </c>
      <c r="D158" s="527" t="s">
        <v>1836</v>
      </c>
      <c r="E158" s="290" t="s">
        <v>1373</v>
      </c>
      <c r="F158" s="290" t="s">
        <v>602</v>
      </c>
      <c r="G158" s="292">
        <v>80</v>
      </c>
      <c r="H158" s="503" t="s">
        <v>1832</v>
      </c>
      <c r="I158" s="475">
        <v>1</v>
      </c>
      <c r="J158" s="475">
        <v>30</v>
      </c>
      <c r="K158" s="517">
        <v>0.17</v>
      </c>
      <c r="L158" s="477">
        <v>0.24</v>
      </c>
      <c r="M158" s="477">
        <v>0.0408</v>
      </c>
      <c r="N158" s="498">
        <v>0.2808</v>
      </c>
      <c r="O158" s="499">
        <v>0.212888551933283</v>
      </c>
      <c r="P158" s="309"/>
      <c r="Y158" s="168"/>
    </row>
    <row r="159" ht="16.5" customHeight="1" outlineLevel="3" spans="2:25">
      <c r="B159" s="470" t="s">
        <v>1837</v>
      </c>
      <c r="C159" s="473" t="s">
        <v>622</v>
      </c>
      <c r="D159" s="527" t="s">
        <v>1838</v>
      </c>
      <c r="E159" s="528" t="s">
        <v>261</v>
      </c>
      <c r="F159" s="290"/>
      <c r="G159" s="292"/>
      <c r="H159" s="292"/>
      <c r="I159" s="475"/>
      <c r="J159" s="475">
        <v>0</v>
      </c>
      <c r="K159" s="517">
        <v>0.11</v>
      </c>
      <c r="L159" s="477">
        <v>0</v>
      </c>
      <c r="M159" s="477">
        <v>0</v>
      </c>
      <c r="N159" s="498">
        <v>0</v>
      </c>
      <c r="O159" s="499">
        <v>0</v>
      </c>
      <c r="P159" s="309"/>
      <c r="Y159" s="168"/>
    </row>
    <row r="160" ht="16.5" customHeight="1" outlineLevel="3" spans="2:25">
      <c r="B160" s="470" t="s">
        <v>1839</v>
      </c>
      <c r="C160" s="473" t="s">
        <v>622</v>
      </c>
      <c r="D160" s="527" t="s">
        <v>1840</v>
      </c>
      <c r="E160" s="290"/>
      <c r="F160" s="290"/>
      <c r="G160" s="108"/>
      <c r="H160" s="292"/>
      <c r="I160" s="475"/>
      <c r="J160" s="475">
        <v>0</v>
      </c>
      <c r="K160" s="517">
        <v>0.17</v>
      </c>
      <c r="L160" s="477">
        <v>0</v>
      </c>
      <c r="M160" s="477">
        <v>0</v>
      </c>
      <c r="N160" s="498">
        <v>0</v>
      </c>
      <c r="O160" s="499">
        <v>0</v>
      </c>
      <c r="P160" s="523"/>
      <c r="Y160" s="168"/>
    </row>
    <row r="161" ht="16.5" customHeight="1" outlineLevel="3" spans="2:25">
      <c r="B161" s="470" t="s">
        <v>1839</v>
      </c>
      <c r="C161" s="473" t="s">
        <v>622</v>
      </c>
      <c r="D161" s="527" t="s">
        <v>1842</v>
      </c>
      <c r="E161" s="290"/>
      <c r="F161" s="290"/>
      <c r="G161" s="108"/>
      <c r="H161" s="292"/>
      <c r="I161" s="475"/>
      <c r="J161" s="475">
        <v>0</v>
      </c>
      <c r="K161" s="517">
        <v>0.11</v>
      </c>
      <c r="L161" s="477">
        <v>0</v>
      </c>
      <c r="M161" s="477">
        <v>0</v>
      </c>
      <c r="N161" s="498">
        <v>0</v>
      </c>
      <c r="O161" s="499">
        <v>0</v>
      </c>
      <c r="P161" s="523"/>
      <c r="Y161" s="168"/>
    </row>
    <row r="162" ht="16.5" customHeight="1" outlineLevel="2" spans="2:25">
      <c r="B162" s="470" t="s">
        <v>1843</v>
      </c>
      <c r="C162" s="471" t="s">
        <v>657</v>
      </c>
      <c r="D162" s="507" t="s">
        <v>1844</v>
      </c>
      <c r="E162" s="290"/>
      <c r="F162" s="290"/>
      <c r="G162" s="292"/>
      <c r="H162" s="292"/>
      <c r="I162" s="475"/>
      <c r="J162" s="475">
        <v>0</v>
      </c>
      <c r="K162" s="517"/>
      <c r="L162" s="301">
        <v>4.304</v>
      </c>
      <c r="M162" s="301">
        <v>0.49648</v>
      </c>
      <c r="N162" s="475">
        <v>4.80048</v>
      </c>
      <c r="O162" s="499">
        <v>3.63948445792267</v>
      </c>
      <c r="P162" s="309"/>
      <c r="Y162" s="168"/>
    </row>
    <row r="163" ht="16.5" customHeight="1" outlineLevel="3" spans="2:25">
      <c r="B163" s="470" t="s">
        <v>1845</v>
      </c>
      <c r="C163" s="473" t="s">
        <v>622</v>
      </c>
      <c r="D163" s="527" t="s">
        <v>1846</v>
      </c>
      <c r="E163" s="290" t="s">
        <v>1363</v>
      </c>
      <c r="F163" s="290" t="s">
        <v>602</v>
      </c>
      <c r="G163" s="292">
        <v>40</v>
      </c>
      <c r="H163" s="503" t="s">
        <v>1832</v>
      </c>
      <c r="I163" s="475">
        <v>1</v>
      </c>
      <c r="J163" s="475">
        <v>980</v>
      </c>
      <c r="K163" s="517">
        <v>0.11</v>
      </c>
      <c r="L163" s="477">
        <v>3.92</v>
      </c>
      <c r="M163" s="477">
        <v>0.4312</v>
      </c>
      <c r="N163" s="498">
        <v>4.3512</v>
      </c>
      <c r="O163" s="499">
        <v>3.29886277482942</v>
      </c>
      <c r="P163" s="309"/>
      <c r="Q163" s="168">
        <v>1200.12</v>
      </c>
      <c r="Y163" s="168"/>
    </row>
    <row r="164" ht="16.5" customHeight="1" outlineLevel="3" spans="2:25">
      <c r="B164" s="470" t="s">
        <v>1847</v>
      </c>
      <c r="C164" s="473" t="s">
        <v>622</v>
      </c>
      <c r="D164" s="527" t="s">
        <v>1848</v>
      </c>
      <c r="E164" s="290" t="s">
        <v>1371</v>
      </c>
      <c r="F164" s="290" t="s">
        <v>602</v>
      </c>
      <c r="G164" s="292">
        <v>40</v>
      </c>
      <c r="H164" s="503" t="s">
        <v>1832</v>
      </c>
      <c r="I164" s="475">
        <v>1</v>
      </c>
      <c r="J164" s="475">
        <v>80</v>
      </c>
      <c r="K164" s="517">
        <v>0.17</v>
      </c>
      <c r="L164" s="477">
        <v>0.32</v>
      </c>
      <c r="M164" s="477">
        <v>0.0544</v>
      </c>
      <c r="N164" s="498">
        <v>0.3744</v>
      </c>
      <c r="O164" s="499">
        <v>0.28385140257771</v>
      </c>
      <c r="P164" s="309"/>
      <c r="Y164" s="168"/>
    </row>
    <row r="165" ht="16.5" customHeight="1" outlineLevel="3" spans="2:25">
      <c r="B165" s="470" t="s">
        <v>1849</v>
      </c>
      <c r="C165" s="473" t="s">
        <v>622</v>
      </c>
      <c r="D165" s="527" t="s">
        <v>1850</v>
      </c>
      <c r="E165" s="290" t="s">
        <v>1373</v>
      </c>
      <c r="F165" s="290" t="s">
        <v>602</v>
      </c>
      <c r="G165" s="292">
        <v>40</v>
      </c>
      <c r="H165" s="503" t="s">
        <v>1832</v>
      </c>
      <c r="I165" s="475">
        <v>1</v>
      </c>
      <c r="J165" s="475">
        <v>16</v>
      </c>
      <c r="K165" s="517">
        <v>0.17</v>
      </c>
      <c r="L165" s="477">
        <v>0.064</v>
      </c>
      <c r="M165" s="477">
        <v>0.01088</v>
      </c>
      <c r="N165" s="498">
        <v>0.07488</v>
      </c>
      <c r="O165" s="499">
        <v>0.0567702805155421</v>
      </c>
      <c r="P165" s="309"/>
      <c r="Y165" s="168"/>
    </row>
    <row r="166" ht="16.5" customHeight="1" outlineLevel="3" spans="2:25">
      <c r="B166" s="470" t="s">
        <v>1851</v>
      </c>
      <c r="C166" s="473" t="s">
        <v>622</v>
      </c>
      <c r="D166" s="527" t="s">
        <v>1852</v>
      </c>
      <c r="E166" s="290" t="s">
        <v>261</v>
      </c>
      <c r="F166" s="290"/>
      <c r="G166" s="292"/>
      <c r="H166" s="292"/>
      <c r="I166" s="475"/>
      <c r="J166" s="475">
        <v>0</v>
      </c>
      <c r="K166" s="517">
        <v>0.11</v>
      </c>
      <c r="L166" s="477">
        <v>0</v>
      </c>
      <c r="M166" s="477">
        <v>0</v>
      </c>
      <c r="N166" s="498">
        <v>0</v>
      </c>
      <c r="O166" s="499">
        <v>0</v>
      </c>
      <c r="P166" s="309"/>
      <c r="Y166" s="168"/>
    </row>
    <row r="167" ht="16.5" customHeight="1" outlineLevel="3" spans="2:25">
      <c r="B167" s="470" t="s">
        <v>1853</v>
      </c>
      <c r="C167" s="473" t="s">
        <v>622</v>
      </c>
      <c r="D167" s="527" t="s">
        <v>1854</v>
      </c>
      <c r="E167" s="479"/>
      <c r="F167" s="479"/>
      <c r="G167" s="108"/>
      <c r="H167" s="292"/>
      <c r="I167" s="475"/>
      <c r="J167" s="475">
        <v>0</v>
      </c>
      <c r="K167" s="517">
        <v>0.17</v>
      </c>
      <c r="L167" s="477">
        <v>0</v>
      </c>
      <c r="M167" s="477">
        <v>0</v>
      </c>
      <c r="N167" s="498">
        <v>0</v>
      </c>
      <c r="O167" s="499">
        <v>0</v>
      </c>
      <c r="P167" s="523"/>
      <c r="Y167" s="168"/>
    </row>
    <row r="168" ht="16.5" customHeight="1" outlineLevel="2" spans="2:25">
      <c r="B168" s="470" t="s">
        <v>1855</v>
      </c>
      <c r="C168" s="471" t="s">
        <v>762</v>
      </c>
      <c r="D168" s="507" t="s">
        <v>1856</v>
      </c>
      <c r="E168" s="290"/>
      <c r="F168" s="290"/>
      <c r="G168" s="292"/>
      <c r="H168" s="292"/>
      <c r="I168" s="475"/>
      <c r="J168" s="475">
        <v>0</v>
      </c>
      <c r="K168" s="517">
        <v>0.11</v>
      </c>
      <c r="L168" s="477">
        <v>0</v>
      </c>
      <c r="M168" s="477">
        <v>0</v>
      </c>
      <c r="N168" s="498">
        <v>0</v>
      </c>
      <c r="O168" s="499">
        <v>0</v>
      </c>
      <c r="P168" s="309"/>
      <c r="Y168" s="168"/>
    </row>
    <row r="169" ht="16.5" customHeight="1" outlineLevel="2" spans="2:25">
      <c r="B169" s="470" t="s">
        <v>1857</v>
      </c>
      <c r="C169" s="471" t="s">
        <v>778</v>
      </c>
      <c r="D169" s="507" t="s">
        <v>1858</v>
      </c>
      <c r="E169" s="290" t="s">
        <v>1363</v>
      </c>
      <c r="F169" s="290" t="s">
        <v>602</v>
      </c>
      <c r="G169" s="292"/>
      <c r="H169" s="503" t="s">
        <v>1832</v>
      </c>
      <c r="I169" s="475">
        <v>1</v>
      </c>
      <c r="J169" s="475"/>
      <c r="K169" s="517">
        <v>0.11</v>
      </c>
      <c r="L169" s="477">
        <v>0</v>
      </c>
      <c r="M169" s="477">
        <v>0</v>
      </c>
      <c r="N169" s="498">
        <v>0</v>
      </c>
      <c r="O169" s="499">
        <v>0</v>
      </c>
      <c r="P169" s="309"/>
      <c r="Y169" s="168"/>
    </row>
    <row r="170" ht="16.5" customHeight="1" outlineLevel="2" spans="2:25">
      <c r="B170" s="470" t="s">
        <v>1859</v>
      </c>
      <c r="C170" s="471" t="s">
        <v>781</v>
      </c>
      <c r="D170" s="507" t="s">
        <v>1860</v>
      </c>
      <c r="E170" s="479" t="s">
        <v>774</v>
      </c>
      <c r="F170" s="479" t="s">
        <v>1792</v>
      </c>
      <c r="G170" s="525">
        <v>2</v>
      </c>
      <c r="H170" s="503" t="s">
        <v>1861</v>
      </c>
      <c r="I170" s="475">
        <v>14</v>
      </c>
      <c r="J170" s="475">
        <v>2252.25225225225</v>
      </c>
      <c r="K170" s="517">
        <v>0.11</v>
      </c>
      <c r="L170" s="477">
        <v>6.30630630630631</v>
      </c>
      <c r="M170" s="477">
        <v>0.693693693693694</v>
      </c>
      <c r="N170" s="498">
        <v>7</v>
      </c>
      <c r="O170" s="499">
        <v>5.30705079605762</v>
      </c>
      <c r="P170" s="309"/>
      <c r="Y170" s="168"/>
    </row>
    <row r="171" ht="16.5" customHeight="1" outlineLevel="2" spans="2:25">
      <c r="B171" s="470" t="s">
        <v>1862</v>
      </c>
      <c r="C171" s="471" t="s">
        <v>788</v>
      </c>
      <c r="D171" s="507" t="s">
        <v>1863</v>
      </c>
      <c r="E171" s="290"/>
      <c r="F171" s="290"/>
      <c r="G171" s="292"/>
      <c r="H171" s="292"/>
      <c r="I171" s="475"/>
      <c r="J171" s="475">
        <v>0</v>
      </c>
      <c r="K171" s="517"/>
      <c r="L171" s="477">
        <v>123.648</v>
      </c>
      <c r="M171" s="477">
        <v>14.39616</v>
      </c>
      <c r="N171" s="568">
        <v>138.04416</v>
      </c>
      <c r="O171" s="499">
        <v>104.658195602729</v>
      </c>
      <c r="P171" s="309"/>
      <c r="Y171" s="168"/>
    </row>
    <row r="172" ht="16.5" customHeight="1" outlineLevel="3" spans="2:25">
      <c r="B172" s="470" t="s">
        <v>1864</v>
      </c>
      <c r="C172" s="473" t="s">
        <v>622</v>
      </c>
      <c r="D172" s="527" t="s">
        <v>1865</v>
      </c>
      <c r="E172" s="290" t="s">
        <v>1363</v>
      </c>
      <c r="F172" s="479" t="s">
        <v>1866</v>
      </c>
      <c r="G172" s="525">
        <v>115</v>
      </c>
      <c r="H172" s="503" t="s">
        <v>1861</v>
      </c>
      <c r="I172" s="475">
        <v>12</v>
      </c>
      <c r="J172" s="475">
        <v>800</v>
      </c>
      <c r="K172" s="517">
        <v>0.11</v>
      </c>
      <c r="L172" s="477">
        <v>110.4</v>
      </c>
      <c r="M172" s="477">
        <v>12.144</v>
      </c>
      <c r="N172" s="498">
        <v>122.544</v>
      </c>
      <c r="O172" s="499">
        <v>92.9067475360121</v>
      </c>
      <c r="P172" s="523"/>
      <c r="Q172" s="168">
        <v>1000.32</v>
      </c>
      <c r="Y172" s="168"/>
    </row>
    <row r="173" ht="16.5" customHeight="1" outlineLevel="3" spans="2:25">
      <c r="B173" s="470" t="s">
        <v>1867</v>
      </c>
      <c r="C173" s="473" t="s">
        <v>622</v>
      </c>
      <c r="D173" s="527" t="s">
        <v>1868</v>
      </c>
      <c r="E173" s="290" t="s">
        <v>1371</v>
      </c>
      <c r="F173" s="479" t="s">
        <v>1866</v>
      </c>
      <c r="G173" s="525">
        <v>115</v>
      </c>
      <c r="H173" s="503" t="s">
        <v>1861</v>
      </c>
      <c r="I173" s="475">
        <v>12</v>
      </c>
      <c r="J173" s="475">
        <v>80</v>
      </c>
      <c r="K173" s="517">
        <v>0.17</v>
      </c>
      <c r="L173" s="477">
        <v>11.04</v>
      </c>
      <c r="M173" s="477">
        <v>1.8768</v>
      </c>
      <c r="N173" s="498">
        <v>12.9168</v>
      </c>
      <c r="O173" s="499">
        <v>9.79287338893101</v>
      </c>
      <c r="P173" s="523"/>
      <c r="Y173" s="168"/>
    </row>
    <row r="174" ht="16.5" customHeight="1" outlineLevel="3" spans="2:25">
      <c r="B174" s="470" t="s">
        <v>1869</v>
      </c>
      <c r="C174" s="473" t="s">
        <v>622</v>
      </c>
      <c r="D174" s="527" t="s">
        <v>1870</v>
      </c>
      <c r="E174" s="290" t="s">
        <v>1373</v>
      </c>
      <c r="F174" s="479" t="s">
        <v>1866</v>
      </c>
      <c r="G174" s="525">
        <v>115</v>
      </c>
      <c r="H174" s="503" t="s">
        <v>1861</v>
      </c>
      <c r="I174" s="475">
        <v>12</v>
      </c>
      <c r="J174" s="475">
        <v>16</v>
      </c>
      <c r="K174" s="517">
        <v>0.17</v>
      </c>
      <c r="L174" s="477">
        <v>2.208</v>
      </c>
      <c r="M174" s="477">
        <v>0.37536</v>
      </c>
      <c r="N174" s="498">
        <v>2.58336</v>
      </c>
      <c r="O174" s="499">
        <v>1.9585746777862</v>
      </c>
      <c r="P174" s="523"/>
      <c r="Y174" s="168"/>
    </row>
    <row r="175" ht="16.5" customHeight="1" outlineLevel="3" spans="2:25">
      <c r="B175" s="470" t="s">
        <v>1871</v>
      </c>
      <c r="C175" s="473" t="s">
        <v>622</v>
      </c>
      <c r="D175" s="527" t="s">
        <v>1872</v>
      </c>
      <c r="E175" s="290" t="s">
        <v>1372</v>
      </c>
      <c r="F175" s="65"/>
      <c r="G175" s="525">
        <v>115</v>
      </c>
      <c r="H175" s="503" t="s">
        <v>1861</v>
      </c>
      <c r="I175" s="475">
        <v>12</v>
      </c>
      <c r="J175" s="475"/>
      <c r="K175" s="517">
        <v>0.17</v>
      </c>
      <c r="L175" s="477">
        <v>0</v>
      </c>
      <c r="M175" s="477">
        <v>0</v>
      </c>
      <c r="N175" s="498">
        <v>0</v>
      </c>
      <c r="O175" s="499">
        <v>0</v>
      </c>
      <c r="P175" s="523"/>
      <c r="Y175" s="168"/>
    </row>
    <row r="176" ht="16.5" customHeight="1" outlineLevel="2" spans="2:25">
      <c r="B176" s="470" t="s">
        <v>1873</v>
      </c>
      <c r="C176" s="471" t="s">
        <v>791</v>
      </c>
      <c r="D176" s="507" t="s">
        <v>1874</v>
      </c>
      <c r="E176" s="290"/>
      <c r="F176" s="290"/>
      <c r="G176" s="292"/>
      <c r="H176" s="292"/>
      <c r="I176" s="475"/>
      <c r="J176" s="475">
        <v>0</v>
      </c>
      <c r="K176" s="517">
        <v>0.11</v>
      </c>
      <c r="L176" s="477">
        <v>0</v>
      </c>
      <c r="M176" s="477">
        <v>0</v>
      </c>
      <c r="N176" s="498">
        <v>0</v>
      </c>
      <c r="O176" s="499">
        <v>0</v>
      </c>
      <c r="P176" s="309"/>
      <c r="Y176" s="168"/>
    </row>
    <row r="177" ht="16.5" customHeight="1" outlineLevel="2" spans="2:25">
      <c r="B177" s="470" t="s">
        <v>1875</v>
      </c>
      <c r="C177" s="471" t="s">
        <v>794</v>
      </c>
      <c r="D177" s="507" t="s">
        <v>1876</v>
      </c>
      <c r="E177" s="290"/>
      <c r="F177" s="290"/>
      <c r="G177" s="292"/>
      <c r="H177" s="292"/>
      <c r="I177" s="475"/>
      <c r="J177" s="475">
        <v>0</v>
      </c>
      <c r="K177" s="517">
        <v>0.11</v>
      </c>
      <c r="L177" s="477">
        <v>0</v>
      </c>
      <c r="M177" s="477">
        <v>0</v>
      </c>
      <c r="N177" s="498">
        <v>0</v>
      </c>
      <c r="O177" s="499">
        <v>0</v>
      </c>
      <c r="P177" s="309"/>
      <c r="Y177" s="168"/>
    </row>
    <row r="178" ht="16.5" customHeight="1" outlineLevel="2" spans="2:25">
      <c r="B178" s="470" t="s">
        <v>1877</v>
      </c>
      <c r="C178" s="471" t="s">
        <v>797</v>
      </c>
      <c r="D178" s="507" t="s">
        <v>1878</v>
      </c>
      <c r="E178" s="290"/>
      <c r="F178" s="290"/>
      <c r="G178" s="292"/>
      <c r="H178" s="292"/>
      <c r="I178" s="475"/>
      <c r="J178" s="475">
        <v>0</v>
      </c>
      <c r="K178" s="517">
        <v>0.11</v>
      </c>
      <c r="L178" s="477">
        <v>0</v>
      </c>
      <c r="M178" s="477">
        <v>0</v>
      </c>
      <c r="N178" s="498">
        <v>0</v>
      </c>
      <c r="O178" s="499">
        <v>0</v>
      </c>
      <c r="P178" s="309"/>
      <c r="Y178" s="168"/>
    </row>
    <row r="179" ht="16.5" customHeight="1" outlineLevel="2" spans="2:25">
      <c r="B179" s="470" t="s">
        <v>1879</v>
      </c>
      <c r="C179" s="471" t="s">
        <v>1519</v>
      </c>
      <c r="D179" s="507" t="s">
        <v>1880</v>
      </c>
      <c r="E179" s="290"/>
      <c r="F179" s="290"/>
      <c r="G179" s="292"/>
      <c r="H179" s="292"/>
      <c r="I179" s="475"/>
      <c r="J179" s="475">
        <v>0</v>
      </c>
      <c r="K179" s="517">
        <v>0.17</v>
      </c>
      <c r="L179" s="477">
        <v>0</v>
      </c>
      <c r="M179" s="477">
        <v>0</v>
      </c>
      <c r="N179" s="498">
        <v>0</v>
      </c>
      <c r="O179" s="499">
        <v>0</v>
      </c>
      <c r="P179" s="309"/>
      <c r="Y179" s="168"/>
    </row>
    <row r="180" s="456" customFormat="1" ht="16.5" customHeight="1" outlineLevel="1" spans="2:16">
      <c r="B180" s="529" t="s">
        <v>553</v>
      </c>
      <c r="C180" s="530">
        <v>3</v>
      </c>
      <c r="D180" s="529" t="s">
        <v>554</v>
      </c>
      <c r="E180" s="530"/>
      <c r="F180" s="530"/>
      <c r="G180" s="530"/>
      <c r="H180" s="531"/>
      <c r="I180" s="533"/>
      <c r="J180" s="533"/>
      <c r="K180" s="534"/>
      <c r="L180" s="531">
        <v>55.28387</v>
      </c>
      <c r="M180" s="531">
        <v>6.1093057</v>
      </c>
      <c r="N180" s="531">
        <v>61.3931757</v>
      </c>
      <c r="O180" s="535">
        <v>46.5452431387415</v>
      </c>
      <c r="P180" s="536"/>
    </row>
    <row r="181" ht="16.5" customHeight="1" outlineLevel="2" spans="2:25">
      <c r="B181" s="470" t="s">
        <v>1881</v>
      </c>
      <c r="C181" s="471" t="s">
        <v>619</v>
      </c>
      <c r="D181" s="507" t="s">
        <v>1882</v>
      </c>
      <c r="E181" s="479"/>
      <c r="F181" s="479"/>
      <c r="G181" s="292"/>
      <c r="H181" s="292"/>
      <c r="I181" s="475"/>
      <c r="J181" s="475">
        <v>0</v>
      </c>
      <c r="K181" s="517"/>
      <c r="L181" s="301">
        <v>55.28387</v>
      </c>
      <c r="M181" s="301">
        <v>6.1093057</v>
      </c>
      <c r="N181" s="301">
        <v>61.3931757</v>
      </c>
      <c r="O181" s="499">
        <v>46.5452431387415</v>
      </c>
      <c r="P181" s="309"/>
      <c r="Y181" s="168"/>
    </row>
    <row r="182" ht="16.5" customHeight="1" outlineLevel="3" spans="2:25">
      <c r="B182" s="470" t="s">
        <v>1883</v>
      </c>
      <c r="C182" s="473" t="s">
        <v>622</v>
      </c>
      <c r="D182" s="507" t="s">
        <v>1884</v>
      </c>
      <c r="E182" s="479" t="s">
        <v>993</v>
      </c>
      <c r="F182" s="479" t="s">
        <v>601</v>
      </c>
      <c r="G182" s="292">
        <v>1</v>
      </c>
      <c r="H182" s="292" t="s">
        <v>1668</v>
      </c>
      <c r="I182" s="475">
        <v>350</v>
      </c>
      <c r="J182" s="475">
        <v>60</v>
      </c>
      <c r="K182" s="517">
        <v>0.11</v>
      </c>
      <c r="L182" s="477">
        <v>2.1</v>
      </c>
      <c r="M182" s="477">
        <v>0.231</v>
      </c>
      <c r="N182" s="498">
        <v>2.331</v>
      </c>
      <c r="O182" s="499">
        <v>1.76724791508719</v>
      </c>
      <c r="P182" s="523"/>
      <c r="Y182" s="168"/>
    </row>
    <row r="183" ht="16.5" customHeight="1" outlineLevel="3" spans="2:25">
      <c r="B183" s="470" t="s">
        <v>1885</v>
      </c>
      <c r="C183" s="473" t="s">
        <v>622</v>
      </c>
      <c r="D183" s="507" t="s">
        <v>1886</v>
      </c>
      <c r="E183" s="479" t="s">
        <v>1392</v>
      </c>
      <c r="F183" s="479" t="s">
        <v>601</v>
      </c>
      <c r="G183" s="525">
        <v>1</v>
      </c>
      <c r="H183" s="292" t="s">
        <v>655</v>
      </c>
      <c r="I183" s="475">
        <v>13190</v>
      </c>
      <c r="J183" s="475">
        <v>12.61</v>
      </c>
      <c r="K183" s="517">
        <v>0.11</v>
      </c>
      <c r="L183" s="477">
        <v>16.63259</v>
      </c>
      <c r="M183" s="477">
        <v>1.8295849</v>
      </c>
      <c r="N183" s="498">
        <v>18.4621749</v>
      </c>
      <c r="O183" s="499">
        <v>13.9971</v>
      </c>
      <c r="P183" s="523"/>
      <c r="Y183" s="168"/>
    </row>
    <row r="184" ht="16.5" customHeight="1" outlineLevel="3" spans="2:25">
      <c r="B184" s="470" t="s">
        <v>1887</v>
      </c>
      <c r="C184" s="473" t="s">
        <v>622</v>
      </c>
      <c r="D184" s="507" t="s">
        <v>1888</v>
      </c>
      <c r="E184" s="479" t="s">
        <v>1393</v>
      </c>
      <c r="F184" s="479" t="s">
        <v>601</v>
      </c>
      <c r="G184" s="525">
        <v>1</v>
      </c>
      <c r="H184" s="292" t="s">
        <v>655</v>
      </c>
      <c r="I184" s="475">
        <v>13190</v>
      </c>
      <c r="J184" s="475">
        <v>17.12</v>
      </c>
      <c r="K184" s="517">
        <v>0.11</v>
      </c>
      <c r="L184" s="477">
        <v>22.58128</v>
      </c>
      <c r="M184" s="477">
        <v>2.4839408</v>
      </c>
      <c r="N184" s="498">
        <v>25.0652208</v>
      </c>
      <c r="O184" s="499">
        <v>19.0032</v>
      </c>
      <c r="P184" s="309"/>
      <c r="Y184" s="168"/>
    </row>
    <row r="185" ht="16.5" customHeight="1" outlineLevel="3" spans="2:25">
      <c r="B185" s="470" t="s">
        <v>1889</v>
      </c>
      <c r="C185" s="473" t="s">
        <v>622</v>
      </c>
      <c r="D185" s="507" t="s">
        <v>1890</v>
      </c>
      <c r="E185" s="290"/>
      <c r="F185" s="290"/>
      <c r="G185" s="532"/>
      <c r="H185" s="292"/>
      <c r="I185" s="475"/>
      <c r="J185" s="475">
        <v>0</v>
      </c>
      <c r="K185" s="517">
        <v>0.11</v>
      </c>
      <c r="L185" s="477">
        <v>0</v>
      </c>
      <c r="M185" s="477">
        <v>0</v>
      </c>
      <c r="N185" s="498">
        <v>0</v>
      </c>
      <c r="O185" s="499">
        <v>0</v>
      </c>
      <c r="P185" s="309"/>
      <c r="Y185" s="168"/>
    </row>
    <row r="186" ht="16.5" customHeight="1" outlineLevel="3" spans="2:25">
      <c r="B186" s="470" t="s">
        <v>1891</v>
      </c>
      <c r="C186" s="473" t="s">
        <v>622</v>
      </c>
      <c r="D186" s="507" t="s">
        <v>1892</v>
      </c>
      <c r="E186" s="479" t="s">
        <v>993</v>
      </c>
      <c r="F186" s="479" t="s">
        <v>601</v>
      </c>
      <c r="G186" s="525">
        <v>1</v>
      </c>
      <c r="H186" s="292" t="s">
        <v>1668</v>
      </c>
      <c r="I186" s="560">
        <v>13</v>
      </c>
      <c r="J186" s="475">
        <v>240</v>
      </c>
      <c r="K186" s="517">
        <v>0.11</v>
      </c>
      <c r="L186" s="477">
        <v>0.312</v>
      </c>
      <c r="M186" s="477">
        <v>0.03432</v>
      </c>
      <c r="N186" s="498">
        <v>0.34632</v>
      </c>
      <c r="O186" s="499">
        <v>0.262562547384382</v>
      </c>
      <c r="P186" s="309"/>
      <c r="Y186" s="168"/>
    </row>
    <row r="187" ht="16.5" customHeight="1" outlineLevel="3" spans="2:25">
      <c r="B187" s="470" t="s">
        <v>1893</v>
      </c>
      <c r="C187" s="473" t="s">
        <v>622</v>
      </c>
      <c r="D187" s="507" t="s">
        <v>1894</v>
      </c>
      <c r="E187" s="479" t="s">
        <v>1394</v>
      </c>
      <c r="F187" s="479" t="s">
        <v>601</v>
      </c>
      <c r="G187" s="525">
        <v>1</v>
      </c>
      <c r="H187" s="292" t="s">
        <v>1668</v>
      </c>
      <c r="I187" s="560">
        <v>13</v>
      </c>
      <c r="J187" s="475">
        <v>360</v>
      </c>
      <c r="K187" s="517">
        <v>0.17</v>
      </c>
      <c r="L187" s="477">
        <v>0.468</v>
      </c>
      <c r="M187" s="477">
        <v>0.07956</v>
      </c>
      <c r="N187" s="498">
        <v>0.54756</v>
      </c>
      <c r="O187" s="499">
        <v>0.415132676269901</v>
      </c>
      <c r="P187" s="309"/>
      <c r="Y187" s="168"/>
    </row>
    <row r="188" ht="16.5" customHeight="1" outlineLevel="3" spans="2:25">
      <c r="B188" s="470" t="s">
        <v>1895</v>
      </c>
      <c r="C188" s="473" t="s">
        <v>622</v>
      </c>
      <c r="D188" s="507" t="s">
        <v>1896</v>
      </c>
      <c r="E188" s="290" t="s">
        <v>1392</v>
      </c>
      <c r="F188" s="290"/>
      <c r="G188" s="532"/>
      <c r="H188" s="292"/>
      <c r="I188" s="475"/>
      <c r="J188" s="475">
        <v>0</v>
      </c>
      <c r="K188" s="517">
        <v>0.11</v>
      </c>
      <c r="L188" s="477">
        <v>0</v>
      </c>
      <c r="M188" s="477">
        <v>0</v>
      </c>
      <c r="N188" s="498">
        <v>0</v>
      </c>
      <c r="O188" s="499">
        <v>0</v>
      </c>
      <c r="P188" s="309"/>
      <c r="Y188" s="168"/>
    </row>
    <row r="189" ht="16.5" customHeight="1" outlineLevel="3" spans="1:25">
      <c r="A189" s="456"/>
      <c r="B189" s="470" t="s">
        <v>1897</v>
      </c>
      <c r="C189" s="473" t="s">
        <v>622</v>
      </c>
      <c r="D189" s="507" t="s">
        <v>1898</v>
      </c>
      <c r="E189" s="290"/>
      <c r="F189" s="290"/>
      <c r="G189" s="532">
        <v>1</v>
      </c>
      <c r="H189" s="292"/>
      <c r="I189" s="475">
        <v>13190</v>
      </c>
      <c r="J189" s="560">
        <v>10</v>
      </c>
      <c r="K189" s="517">
        <v>0.11</v>
      </c>
      <c r="L189" s="477">
        <v>13.19</v>
      </c>
      <c r="M189" s="477">
        <v>1.4509</v>
      </c>
      <c r="N189" s="498">
        <v>14.6409</v>
      </c>
      <c r="O189" s="499">
        <v>11.1</v>
      </c>
      <c r="P189" s="309"/>
      <c r="Y189" s="168"/>
    </row>
    <row r="190" s="457" customFormat="1" ht="16.5" customHeight="1" outlineLevel="2" spans="1:16">
      <c r="A190" s="456"/>
      <c r="B190" s="470" t="s">
        <v>1899</v>
      </c>
      <c r="C190" s="471" t="s">
        <v>657</v>
      </c>
      <c r="D190" s="507" t="s">
        <v>1900</v>
      </c>
      <c r="E190" s="366"/>
      <c r="F190" s="366"/>
      <c r="G190" s="366"/>
      <c r="H190" s="313"/>
      <c r="I190" s="518"/>
      <c r="J190" s="518">
        <v>0</v>
      </c>
      <c r="K190" s="537">
        <v>0.11</v>
      </c>
      <c r="L190" s="477">
        <v>0</v>
      </c>
      <c r="M190" s="477">
        <v>0</v>
      </c>
      <c r="N190" s="498">
        <v>0</v>
      </c>
      <c r="O190" s="499">
        <v>0</v>
      </c>
      <c r="P190" s="309"/>
    </row>
    <row r="191" s="457" customFormat="1" ht="16.5" customHeight="1" outlineLevel="2" spans="1:16">
      <c r="A191" s="456"/>
      <c r="B191" s="470" t="s">
        <v>1901</v>
      </c>
      <c r="C191" s="471" t="s">
        <v>762</v>
      </c>
      <c r="D191" s="507" t="s">
        <v>1902</v>
      </c>
      <c r="E191" s="366"/>
      <c r="F191" s="366"/>
      <c r="G191" s="366"/>
      <c r="H191" s="313"/>
      <c r="I191" s="518"/>
      <c r="J191" s="518">
        <v>0</v>
      </c>
      <c r="K191" s="537">
        <v>0.11</v>
      </c>
      <c r="L191" s="477">
        <v>0</v>
      </c>
      <c r="M191" s="477">
        <v>0</v>
      </c>
      <c r="N191" s="498">
        <v>0</v>
      </c>
      <c r="O191" s="499">
        <v>0</v>
      </c>
      <c r="P191" s="309"/>
    </row>
    <row r="192" ht="16.5" customHeight="1" outlineLevel="1" spans="2:25">
      <c r="B192" s="121" t="s">
        <v>555</v>
      </c>
      <c r="C192" s="121">
        <v>4</v>
      </c>
      <c r="D192" s="121" t="s">
        <v>556</v>
      </c>
      <c r="E192" s="193"/>
      <c r="F192" s="193"/>
      <c r="G192" s="193"/>
      <c r="H192" s="155"/>
      <c r="I192" s="492"/>
      <c r="J192" s="492"/>
      <c r="K192" s="521"/>
      <c r="L192" s="155">
        <v>43.6153846153846</v>
      </c>
      <c r="M192" s="155">
        <v>4.79769230769231</v>
      </c>
      <c r="N192" s="155">
        <v>48.4130769230769</v>
      </c>
      <c r="O192" s="495">
        <v>36.7043797748877</v>
      </c>
      <c r="P192" s="233"/>
      <c r="Y192" s="168"/>
    </row>
    <row r="193" ht="16.5" customHeight="1" outlineLevel="2" spans="2:25">
      <c r="B193" s="470" t="s">
        <v>1903</v>
      </c>
      <c r="C193" s="471" t="s">
        <v>619</v>
      </c>
      <c r="D193" s="507" t="s">
        <v>1904</v>
      </c>
      <c r="E193" s="479" t="s">
        <v>1396</v>
      </c>
      <c r="F193" s="479" t="s">
        <v>601</v>
      </c>
      <c r="G193" s="525"/>
      <c r="H193" s="292" t="s">
        <v>1681</v>
      </c>
      <c r="I193" s="475">
        <v>350</v>
      </c>
      <c r="J193" s="475">
        <v>1350</v>
      </c>
      <c r="K193" s="517">
        <v>0.11</v>
      </c>
      <c r="L193" s="477">
        <v>0</v>
      </c>
      <c r="M193" s="477">
        <v>0</v>
      </c>
      <c r="N193" s="498">
        <v>0</v>
      </c>
      <c r="O193" s="499">
        <v>0</v>
      </c>
      <c r="P193" s="309"/>
      <c r="Y193" s="168"/>
    </row>
    <row r="194" ht="16.5" customHeight="1" outlineLevel="2" spans="2:25">
      <c r="B194" s="470" t="s">
        <v>1905</v>
      </c>
      <c r="C194" s="471" t="s">
        <v>657</v>
      </c>
      <c r="D194" s="507" t="s">
        <v>1906</v>
      </c>
      <c r="E194" s="290"/>
      <c r="F194" s="290"/>
      <c r="G194" s="365">
        <v>1</v>
      </c>
      <c r="H194" s="292" t="s">
        <v>995</v>
      </c>
      <c r="I194" s="560">
        <v>134.615384615385</v>
      </c>
      <c r="J194" s="475">
        <v>3240</v>
      </c>
      <c r="K194" s="517">
        <v>0.11</v>
      </c>
      <c r="L194" s="477">
        <v>43.6153846153846</v>
      </c>
      <c r="M194" s="477">
        <v>4.79769230769231</v>
      </c>
      <c r="N194" s="498">
        <v>48.4130769230769</v>
      </c>
      <c r="O194" s="499">
        <v>36.7043797748877</v>
      </c>
      <c r="P194" s="309"/>
      <c r="Y194" s="168"/>
    </row>
    <row r="195" ht="16.5" customHeight="1" outlineLevel="2" spans="2:25">
      <c r="B195" s="470" t="s">
        <v>1907</v>
      </c>
      <c r="C195" s="471" t="s">
        <v>762</v>
      </c>
      <c r="D195" s="507" t="s">
        <v>1908</v>
      </c>
      <c r="E195" s="290"/>
      <c r="F195" s="290"/>
      <c r="G195" s="292"/>
      <c r="H195" s="292"/>
      <c r="I195" s="475"/>
      <c r="J195" s="475">
        <v>0</v>
      </c>
      <c r="K195" s="517">
        <v>0.11</v>
      </c>
      <c r="L195" s="477">
        <v>0</v>
      </c>
      <c r="M195" s="477">
        <v>0</v>
      </c>
      <c r="N195" s="498">
        <v>0</v>
      </c>
      <c r="O195" s="499">
        <v>0</v>
      </c>
      <c r="P195" s="309"/>
      <c r="Y195" s="168"/>
    </row>
    <row r="196" ht="16.5" customHeight="1" outlineLevel="2" spans="2:25">
      <c r="B196" s="470" t="s">
        <v>1909</v>
      </c>
      <c r="C196" s="471" t="s">
        <v>778</v>
      </c>
      <c r="D196" s="507" t="s">
        <v>1910</v>
      </c>
      <c r="E196" s="290"/>
      <c r="F196" s="290"/>
      <c r="G196" s="292"/>
      <c r="H196" s="292"/>
      <c r="I196" s="475"/>
      <c r="J196" s="475">
        <v>0</v>
      </c>
      <c r="K196" s="517">
        <v>0.11</v>
      </c>
      <c r="L196" s="477">
        <v>0</v>
      </c>
      <c r="M196" s="477">
        <v>0</v>
      </c>
      <c r="N196" s="498">
        <v>0</v>
      </c>
      <c r="O196" s="499">
        <v>0</v>
      </c>
      <c r="P196" s="309"/>
      <c r="Y196" s="168"/>
    </row>
    <row r="197" ht="16.5" customHeight="1" outlineLevel="2" spans="2:25">
      <c r="B197" s="470" t="s">
        <v>1911</v>
      </c>
      <c r="C197" s="471" t="s">
        <v>781</v>
      </c>
      <c r="D197" s="507" t="s">
        <v>1912</v>
      </c>
      <c r="E197" s="290" t="s">
        <v>1395</v>
      </c>
      <c r="F197" s="290"/>
      <c r="G197" s="292"/>
      <c r="H197" s="292"/>
      <c r="I197" s="475"/>
      <c r="J197" s="475">
        <v>0</v>
      </c>
      <c r="K197" s="517">
        <v>0.11</v>
      </c>
      <c r="L197" s="477">
        <v>0</v>
      </c>
      <c r="M197" s="477">
        <v>0</v>
      </c>
      <c r="N197" s="498">
        <v>0</v>
      </c>
      <c r="O197" s="499">
        <v>0</v>
      </c>
      <c r="P197" s="309"/>
      <c r="Y197" s="168"/>
    </row>
    <row r="198" ht="16.5" customHeight="1" outlineLevel="2" spans="2:25">
      <c r="B198" s="470" t="s">
        <v>1913</v>
      </c>
      <c r="C198" s="471" t="s">
        <v>788</v>
      </c>
      <c r="D198" s="507" t="s">
        <v>1914</v>
      </c>
      <c r="E198" s="290" t="s">
        <v>1395</v>
      </c>
      <c r="F198" s="290"/>
      <c r="G198" s="292"/>
      <c r="H198" s="292"/>
      <c r="I198" s="475"/>
      <c r="J198" s="475">
        <v>0</v>
      </c>
      <c r="K198" s="517">
        <v>0.11</v>
      </c>
      <c r="L198" s="477">
        <v>0</v>
      </c>
      <c r="M198" s="477">
        <v>0</v>
      </c>
      <c r="N198" s="498">
        <v>0</v>
      </c>
      <c r="O198" s="499">
        <v>0</v>
      </c>
      <c r="P198" s="309"/>
      <c r="Y198" s="168"/>
    </row>
    <row r="199" ht="16.5" customHeight="1" outlineLevel="2" spans="2:25">
      <c r="B199" s="470" t="s">
        <v>1915</v>
      </c>
      <c r="C199" s="471" t="s">
        <v>791</v>
      </c>
      <c r="D199" s="507" t="s">
        <v>1916</v>
      </c>
      <c r="E199" s="290" t="s">
        <v>1395</v>
      </c>
      <c r="F199" s="290"/>
      <c r="G199" s="292"/>
      <c r="H199" s="292"/>
      <c r="I199" s="475"/>
      <c r="J199" s="475"/>
      <c r="K199" s="517">
        <v>0.11</v>
      </c>
      <c r="L199" s="477">
        <v>0</v>
      </c>
      <c r="M199" s="477">
        <v>0</v>
      </c>
      <c r="N199" s="498">
        <v>0</v>
      </c>
      <c r="O199" s="499">
        <v>0</v>
      </c>
      <c r="P199" s="309"/>
      <c r="Y199" s="168"/>
    </row>
    <row r="200" ht="16.5" customHeight="1" outlineLevel="2" spans="2:25">
      <c r="B200" s="470" t="s">
        <v>1917</v>
      </c>
      <c r="C200" s="471" t="s">
        <v>794</v>
      </c>
      <c r="D200" s="507" t="s">
        <v>1700</v>
      </c>
      <c r="E200" s="290" t="s">
        <v>1395</v>
      </c>
      <c r="F200" s="290"/>
      <c r="G200" s="292"/>
      <c r="H200" s="292"/>
      <c r="I200" s="475"/>
      <c r="J200" s="475">
        <v>0</v>
      </c>
      <c r="K200" s="517">
        <v>0.11</v>
      </c>
      <c r="L200" s="477">
        <v>0</v>
      </c>
      <c r="M200" s="477">
        <v>0</v>
      </c>
      <c r="N200" s="498">
        <v>0</v>
      </c>
      <c r="O200" s="499">
        <v>0</v>
      </c>
      <c r="P200" s="309"/>
      <c r="Y200" s="168"/>
    </row>
    <row r="201" ht="16.5" customHeight="1" outlineLevel="2" spans="2:25">
      <c r="B201" s="470" t="s">
        <v>1918</v>
      </c>
      <c r="C201" s="471" t="s">
        <v>797</v>
      </c>
      <c r="D201" s="507" t="s">
        <v>1919</v>
      </c>
      <c r="E201" s="290" t="s">
        <v>1395</v>
      </c>
      <c r="F201" s="290"/>
      <c r="G201" s="292"/>
      <c r="H201" s="292"/>
      <c r="I201" s="475"/>
      <c r="J201" s="475">
        <v>0</v>
      </c>
      <c r="K201" s="517">
        <v>0.11</v>
      </c>
      <c r="L201" s="477">
        <v>0</v>
      </c>
      <c r="M201" s="477">
        <v>0</v>
      </c>
      <c r="N201" s="498">
        <v>0</v>
      </c>
      <c r="O201" s="499">
        <v>0</v>
      </c>
      <c r="P201" s="309"/>
      <c r="Y201" s="168"/>
    </row>
    <row r="202" ht="16.5" customHeight="1" outlineLevel="2" spans="2:25">
      <c r="B202" s="470" t="s">
        <v>1920</v>
      </c>
      <c r="C202" s="471" t="s">
        <v>1519</v>
      </c>
      <c r="D202" s="507" t="s">
        <v>1921</v>
      </c>
      <c r="E202" s="290" t="s">
        <v>1395</v>
      </c>
      <c r="F202" s="290"/>
      <c r="G202" s="292"/>
      <c r="H202" s="292" t="s">
        <v>827</v>
      </c>
      <c r="I202" s="475">
        <v>131.9</v>
      </c>
      <c r="J202" s="475">
        <v>1700</v>
      </c>
      <c r="K202" s="517">
        <v>0.11</v>
      </c>
      <c r="L202" s="477">
        <v>0</v>
      </c>
      <c r="M202" s="477">
        <v>0</v>
      </c>
      <c r="N202" s="498">
        <v>0</v>
      </c>
      <c r="O202" s="499">
        <v>0</v>
      </c>
      <c r="P202" s="309"/>
      <c r="Y202" s="168"/>
    </row>
    <row r="203" ht="16.5" customHeight="1" outlineLevel="2" spans="2:25">
      <c r="B203" s="470" t="s">
        <v>1922</v>
      </c>
      <c r="C203" s="471" t="s">
        <v>1520</v>
      </c>
      <c r="D203" s="507" t="s">
        <v>1923</v>
      </c>
      <c r="E203" s="290"/>
      <c r="F203" s="290"/>
      <c r="G203" s="292"/>
      <c r="H203" s="292"/>
      <c r="I203" s="475"/>
      <c r="J203" s="475">
        <v>0</v>
      </c>
      <c r="K203" s="517">
        <v>0.11</v>
      </c>
      <c r="L203" s="477">
        <v>0</v>
      </c>
      <c r="M203" s="477">
        <v>0</v>
      </c>
      <c r="N203" s="498">
        <v>0</v>
      </c>
      <c r="O203" s="499">
        <v>0</v>
      </c>
      <c r="P203" s="309"/>
      <c r="Y203" s="168"/>
    </row>
    <row r="204" ht="15.75" collapsed="1" spans="3:25">
      <c r="C204" s="168"/>
      <c r="G204" s="168"/>
      <c r="H204" s="168"/>
      <c r="I204" s="168"/>
      <c r="J204" s="168"/>
      <c r="K204" s="168"/>
      <c r="M204" s="166" t="s">
        <v>2</v>
      </c>
      <c r="N204" s="459">
        <v>5079.99514726923</v>
      </c>
      <c r="Y204" s="168"/>
    </row>
    <row r="205" ht="15.75" spans="3:25">
      <c r="C205" s="168"/>
      <c r="G205" s="168"/>
      <c r="H205" s="168"/>
      <c r="I205" s="168"/>
      <c r="J205" s="168"/>
      <c r="K205" s="168"/>
      <c r="L205" s="538"/>
      <c r="M205" s="538"/>
      <c r="N205" s="564"/>
      <c r="X205" s="540">
        <v>0</v>
      </c>
      <c r="Y205" s="168"/>
    </row>
  </sheetData>
  <autoFilter ref="A3:Y205"/>
  <conditionalFormatting sqref="B4:C4">
    <cfRule type="duplicateValues" dxfId="373" priority="131"/>
  </conditionalFormatting>
  <conditionalFormatting sqref="B5:C5">
    <cfRule type="duplicateValues" dxfId="374" priority="130"/>
  </conditionalFormatting>
  <conditionalFormatting sqref="D6">
    <cfRule type="duplicateValues" dxfId="375" priority="135"/>
  </conditionalFormatting>
  <conditionalFormatting sqref="I6">
    <cfRule type="cellIs" dxfId="376" priority="82" operator="equal">
      <formula>0</formula>
    </cfRule>
    <cfRule type="cellIs" priority="81" operator="equal">
      <formula>0</formula>
    </cfRule>
  </conditionalFormatting>
  <conditionalFormatting sqref="I10">
    <cfRule type="cellIs" dxfId="377" priority="80" operator="equal">
      <formula>0</formula>
    </cfRule>
    <cfRule type="cellIs" priority="79" operator="equal">
      <formula>0</formula>
    </cfRule>
  </conditionalFormatting>
  <conditionalFormatting sqref="D21">
    <cfRule type="duplicateValues" dxfId="378" priority="67"/>
  </conditionalFormatting>
  <conditionalFormatting sqref="I21">
    <cfRule type="cellIs" dxfId="379" priority="64" operator="equal">
      <formula>0</formula>
    </cfRule>
    <cfRule type="cellIs" priority="63" operator="equal">
      <formula>0</formula>
    </cfRule>
  </conditionalFormatting>
  <conditionalFormatting sqref="K21">
    <cfRule type="cellIs" dxfId="380" priority="66" operator="equal">
      <formula>0</formula>
    </cfRule>
    <cfRule type="cellIs" priority="65" operator="equal">
      <formula>0</formula>
    </cfRule>
  </conditionalFormatting>
  <conditionalFormatting sqref="D22">
    <cfRule type="duplicateValues" dxfId="381" priority="72"/>
  </conditionalFormatting>
  <conditionalFormatting sqref="I22">
    <cfRule type="cellIs" dxfId="382" priority="69" operator="equal">
      <formula>0</formula>
    </cfRule>
    <cfRule type="cellIs" priority="68" operator="equal">
      <formula>0</formula>
    </cfRule>
  </conditionalFormatting>
  <conditionalFormatting sqref="K22">
    <cfRule type="cellIs" dxfId="383" priority="71" operator="equal">
      <formula>0</formula>
    </cfRule>
    <cfRule type="cellIs" priority="70" operator="equal">
      <formula>0</formula>
    </cfRule>
  </conditionalFormatting>
  <conditionalFormatting sqref="I43">
    <cfRule type="cellIs" dxfId="384" priority="128" operator="equal">
      <formula>0</formula>
    </cfRule>
    <cfRule type="cellIs" priority="127" operator="equal">
      <formula>0</formula>
    </cfRule>
  </conditionalFormatting>
  <conditionalFormatting sqref="I49">
    <cfRule type="cellIs" dxfId="385" priority="126" operator="equal">
      <formula>0</formula>
    </cfRule>
    <cfRule type="cellIs" priority="125" operator="equal">
      <formula>0</formula>
    </cfRule>
  </conditionalFormatting>
  <conditionalFormatting sqref="I53">
    <cfRule type="cellIs" dxfId="386" priority="124" operator="equal">
      <formula>0</formula>
    </cfRule>
    <cfRule type="cellIs" priority="123" operator="equal">
      <formula>0</formula>
    </cfRule>
  </conditionalFormatting>
  <conditionalFormatting sqref="K57">
    <cfRule type="cellIs" dxfId="387" priority="16" operator="equal">
      <formula>0</formula>
    </cfRule>
    <cfRule type="cellIs" priority="15" operator="equal">
      <formula>0</formula>
    </cfRule>
  </conditionalFormatting>
  <conditionalFormatting sqref="I58">
    <cfRule type="cellIs" dxfId="388" priority="122" operator="equal">
      <formula>0</formula>
    </cfRule>
    <cfRule type="cellIs" priority="121" operator="equal">
      <formula>0</formula>
    </cfRule>
  </conditionalFormatting>
  <conditionalFormatting sqref="I60">
    <cfRule type="cellIs" dxfId="389" priority="98" operator="equal">
      <formula>0</formula>
    </cfRule>
    <cfRule type="cellIs" priority="97" operator="equal">
      <formula>0</formula>
    </cfRule>
  </conditionalFormatting>
  <conditionalFormatting sqref="I63">
    <cfRule type="cellIs" dxfId="390" priority="118" operator="equal">
      <formula>0</formula>
    </cfRule>
    <cfRule type="cellIs" priority="117" operator="equal">
      <formula>0</formula>
    </cfRule>
  </conditionalFormatting>
  <conditionalFormatting sqref="I64">
    <cfRule type="cellIs" dxfId="391" priority="96" operator="equal">
      <formula>0</formula>
    </cfRule>
    <cfRule type="cellIs" priority="95" operator="equal">
      <formula>0</formula>
    </cfRule>
  </conditionalFormatting>
  <conditionalFormatting sqref="I65">
    <cfRule type="cellIs" dxfId="392" priority="94" operator="equal">
      <formula>0</formula>
    </cfRule>
    <cfRule type="cellIs" priority="93" operator="equal">
      <formula>0</formula>
    </cfRule>
  </conditionalFormatting>
  <conditionalFormatting sqref="B66:C66">
    <cfRule type="duplicateValues" dxfId="393" priority="129"/>
  </conditionalFormatting>
  <conditionalFormatting sqref="I68">
    <cfRule type="cellIs" dxfId="394" priority="92" operator="equal">
      <formula>0</formula>
    </cfRule>
    <cfRule type="cellIs" priority="91" operator="equal">
      <formula>0</formula>
    </cfRule>
  </conditionalFormatting>
  <conditionalFormatting sqref="I76">
    <cfRule type="cellIs" dxfId="395" priority="90" operator="equal">
      <formula>0</formula>
    </cfRule>
    <cfRule type="cellIs" priority="89" operator="equal">
      <formula>0</formula>
    </cfRule>
  </conditionalFormatting>
  <conditionalFormatting sqref="I81">
    <cfRule type="cellIs" dxfId="396" priority="88" operator="equal">
      <formula>0</formula>
    </cfRule>
    <cfRule type="cellIs" priority="87" operator="equal">
      <formula>0</formula>
    </cfRule>
  </conditionalFormatting>
  <conditionalFormatting sqref="I86">
    <cfRule type="cellIs" dxfId="397" priority="116" operator="equal">
      <formula>0</formula>
    </cfRule>
    <cfRule type="cellIs" priority="115" operator="equal">
      <formula>0</formula>
    </cfRule>
  </conditionalFormatting>
  <conditionalFormatting sqref="I87">
    <cfRule type="cellIs" dxfId="398" priority="86" operator="equal">
      <formula>0</formula>
    </cfRule>
    <cfRule type="cellIs" priority="85" operator="equal">
      <formula>0</formula>
    </cfRule>
  </conditionalFormatting>
  <conditionalFormatting sqref="I88">
    <cfRule type="cellIs" dxfId="399" priority="84" operator="equal">
      <formula>0</formula>
    </cfRule>
    <cfRule type="cellIs" priority="83" operator="equal">
      <formula>0</formula>
    </cfRule>
  </conditionalFormatting>
  <conditionalFormatting sqref="B92:C92">
    <cfRule type="duplicateValues" dxfId="400" priority="231"/>
  </conditionalFormatting>
  <conditionalFormatting sqref="B93:C93">
    <cfRule type="duplicateValues" dxfId="401" priority="230"/>
  </conditionalFormatting>
  <conditionalFormatting sqref="J94">
    <cfRule type="cellIs" dxfId="402" priority="52" operator="equal">
      <formula>0</formula>
    </cfRule>
    <cfRule type="cellIs" priority="51" operator="equal">
      <formula>0</formula>
    </cfRule>
  </conditionalFormatting>
  <conditionalFormatting sqref="M94">
    <cfRule type="cellIs" dxfId="403" priority="220" operator="equal">
      <formula>0</formula>
    </cfRule>
    <cfRule type="cellIs" priority="219" operator="equal">
      <formula>0</formula>
    </cfRule>
  </conditionalFormatting>
  <conditionalFormatting sqref="J95">
    <cfRule type="cellIs" dxfId="404" priority="50" operator="equal">
      <formula>0</formula>
    </cfRule>
    <cfRule type="cellIs" priority="49" operator="equal">
      <formula>0</formula>
    </cfRule>
  </conditionalFormatting>
  <conditionalFormatting sqref="J96">
    <cfRule type="cellIs" dxfId="405" priority="48" operator="equal">
      <formula>0</formula>
    </cfRule>
    <cfRule type="cellIs" priority="47" operator="equal">
      <formula>0</formula>
    </cfRule>
  </conditionalFormatting>
  <conditionalFormatting sqref="J97">
    <cfRule type="cellIs" dxfId="406" priority="22" operator="equal">
      <formula>0</formula>
    </cfRule>
    <cfRule type="cellIs" priority="21" operator="equal">
      <formula>0</formula>
    </cfRule>
  </conditionalFormatting>
  <conditionalFormatting sqref="J98">
    <cfRule type="cellIs" dxfId="407" priority="46" operator="equal">
      <formula>0</formula>
    </cfRule>
    <cfRule type="cellIs" priority="45" operator="equal">
      <formula>0</formula>
    </cfRule>
  </conditionalFormatting>
  <conditionalFormatting sqref="J100">
    <cfRule type="cellIs" dxfId="408" priority="44" operator="equal">
      <formula>0</formula>
    </cfRule>
    <cfRule type="cellIs" priority="43" operator="equal">
      <formula>0</formula>
    </cfRule>
  </conditionalFormatting>
  <conditionalFormatting sqref="J101">
    <cfRule type="cellIs" dxfId="409" priority="42" operator="equal">
      <formula>0</formula>
    </cfRule>
    <cfRule type="cellIs" priority="41" operator="equal">
      <formula>0</formula>
    </cfRule>
  </conditionalFormatting>
  <conditionalFormatting sqref="J102">
    <cfRule type="cellIs" dxfId="410" priority="30" operator="equal">
      <formula>0</formula>
    </cfRule>
    <cfRule type="cellIs" priority="29" operator="equal">
      <formula>0</formula>
    </cfRule>
  </conditionalFormatting>
  <conditionalFormatting sqref="J103">
    <cfRule type="cellIs" dxfId="411" priority="36" operator="equal">
      <formula>0</formula>
    </cfRule>
    <cfRule type="cellIs" priority="35" operator="equal">
      <formula>0</formula>
    </cfRule>
  </conditionalFormatting>
  <conditionalFormatting sqref="J104">
    <cfRule type="cellIs" dxfId="412" priority="40" operator="equal">
      <formula>0</formula>
    </cfRule>
    <cfRule type="cellIs" priority="39" operator="equal">
      <formula>0</formula>
    </cfRule>
  </conditionalFormatting>
  <conditionalFormatting sqref="J105">
    <cfRule type="cellIs" dxfId="413" priority="34" operator="equal">
      <formula>0</formula>
    </cfRule>
    <cfRule type="cellIs" priority="33" operator="equal">
      <formula>0</formula>
    </cfRule>
  </conditionalFormatting>
  <conditionalFormatting sqref="J106">
    <cfRule type="cellIs" dxfId="414" priority="38" operator="equal">
      <formula>0</formula>
    </cfRule>
    <cfRule type="cellIs" priority="37" operator="equal">
      <formula>0</formula>
    </cfRule>
  </conditionalFormatting>
  <conditionalFormatting sqref="J107">
    <cfRule type="cellIs" dxfId="415" priority="32" operator="equal">
      <formula>0</formula>
    </cfRule>
    <cfRule type="cellIs" priority="31" operator="equal">
      <formula>0</formula>
    </cfRule>
  </conditionalFormatting>
  <conditionalFormatting sqref="E108">
    <cfRule type="duplicateValues" dxfId="416" priority="156"/>
  </conditionalFormatting>
  <conditionalFormatting sqref="E109">
    <cfRule type="duplicateValues" dxfId="417" priority="155"/>
  </conditionalFormatting>
  <conditionalFormatting sqref="B110:C110">
    <cfRule type="duplicateValues" dxfId="418" priority="229"/>
  </conditionalFormatting>
  <conditionalFormatting sqref="E115">
    <cfRule type="duplicateValues" dxfId="419" priority="144"/>
  </conditionalFormatting>
  <conditionalFormatting sqref="I115">
    <cfRule type="cellIs" dxfId="420" priority="24" operator="equal">
      <formula>0</formula>
    </cfRule>
    <cfRule type="cellIs" priority="23" operator="equal">
      <formula>0</formula>
    </cfRule>
  </conditionalFormatting>
  <conditionalFormatting sqref="J115">
    <cfRule type="cellIs" dxfId="421" priority="26" operator="equal">
      <formula>0</formula>
    </cfRule>
    <cfRule type="cellIs" priority="25" operator="equal">
      <formula>0</formula>
    </cfRule>
  </conditionalFormatting>
  <conditionalFormatting sqref="E116">
    <cfRule type="duplicateValues" dxfId="422" priority="145"/>
  </conditionalFormatting>
  <conditionalFormatting sqref="K117">
    <cfRule type="cellIs" dxfId="423" priority="139" operator="equal">
      <formula>0</formula>
    </cfRule>
    <cfRule type="cellIs" priority="138" operator="equal">
      <formula>0</formula>
    </cfRule>
  </conditionalFormatting>
  <conditionalFormatting sqref="B118:C118">
    <cfRule type="duplicateValues" dxfId="424" priority="227"/>
  </conditionalFormatting>
  <conditionalFormatting sqref="B119:C119">
    <cfRule type="duplicateValues" dxfId="425" priority="226"/>
  </conditionalFormatting>
  <conditionalFormatting sqref="I137">
    <cfRule type="cellIs" dxfId="426" priority="218" operator="equal">
      <formula>0</formula>
    </cfRule>
    <cfRule type="cellIs" priority="217" operator="equal">
      <formula>0</formula>
    </cfRule>
  </conditionalFormatting>
  <conditionalFormatting sqref="J137">
    <cfRule type="cellIs" dxfId="427" priority="14" operator="equal">
      <formula>0</formula>
    </cfRule>
    <cfRule type="cellIs" priority="13" operator="equal">
      <formula>0</formula>
    </cfRule>
  </conditionalFormatting>
  <conditionalFormatting sqref="I139">
    <cfRule type="cellIs" dxfId="428" priority="216" operator="equal">
      <formula>0</formula>
    </cfRule>
    <cfRule type="cellIs" priority="215" operator="equal">
      <formula>0</formula>
    </cfRule>
  </conditionalFormatting>
  <conditionalFormatting sqref="I140">
    <cfRule type="cellIs" dxfId="429" priority="214" operator="equal">
      <formula>0</formula>
    </cfRule>
    <cfRule type="cellIs" priority="213" operator="equal">
      <formula>0</formula>
    </cfRule>
  </conditionalFormatting>
  <conditionalFormatting sqref="I141">
    <cfRule type="cellIs" dxfId="430" priority="212" operator="equal">
      <formula>0</formula>
    </cfRule>
    <cfRule type="cellIs" priority="211" operator="equal">
      <formula>0</formula>
    </cfRule>
  </conditionalFormatting>
  <conditionalFormatting sqref="I145">
    <cfRule type="cellIs" dxfId="431" priority="206" operator="equal">
      <formula>0</formula>
    </cfRule>
    <cfRule type="cellIs" priority="205" operator="equal">
      <formula>0</formula>
    </cfRule>
  </conditionalFormatting>
  <conditionalFormatting sqref="I146">
    <cfRule type="cellIs" dxfId="432" priority="188" operator="equal">
      <formula>0</formula>
    </cfRule>
    <cfRule type="cellIs" priority="187" operator="equal">
      <formula>0</formula>
    </cfRule>
  </conditionalFormatting>
  <conditionalFormatting sqref="K149">
    <cfRule type="cellIs" dxfId="433" priority="18" operator="equal">
      <formula>0</formula>
    </cfRule>
    <cfRule type="cellIs" priority="17" operator="equal">
      <formula>0</formula>
    </cfRule>
  </conditionalFormatting>
  <conditionalFormatting sqref="I151">
    <cfRule type="cellIs" dxfId="434" priority="186" operator="equal">
      <formula>0</formula>
    </cfRule>
    <cfRule type="cellIs" priority="185" operator="equal">
      <formula>0</formula>
    </cfRule>
  </conditionalFormatting>
  <conditionalFormatting sqref="I153">
    <cfRule type="cellIs" dxfId="435" priority="184" operator="equal">
      <formula>0</formula>
    </cfRule>
    <cfRule type="cellIs" priority="183" operator="equal">
      <formula>0</formula>
    </cfRule>
  </conditionalFormatting>
  <conditionalFormatting sqref="B154:C154">
    <cfRule type="duplicateValues" dxfId="436" priority="225"/>
  </conditionalFormatting>
  <conditionalFormatting sqref="D160">
    <cfRule type="duplicateValues" dxfId="437" priority="57"/>
  </conditionalFormatting>
  <conditionalFormatting sqref="J160">
    <cfRule type="cellIs" dxfId="438" priority="6" operator="equal">
      <formula>0</formula>
    </cfRule>
    <cfRule type="cellIs" priority="5" operator="equal">
      <formula>0</formula>
    </cfRule>
  </conditionalFormatting>
  <conditionalFormatting sqref="I169">
    <cfRule type="cellIs" dxfId="439" priority="202" operator="equal">
      <formula>0</formula>
    </cfRule>
    <cfRule type="cellIs" priority="201" operator="equal">
      <formula>0</formula>
    </cfRule>
  </conditionalFormatting>
  <conditionalFormatting sqref="I170">
    <cfRule type="cellIs" dxfId="440" priority="182" operator="equal">
      <formula>0</formula>
    </cfRule>
    <cfRule type="cellIs" priority="181" operator="equal">
      <formula>0</formula>
    </cfRule>
  </conditionalFormatting>
  <conditionalFormatting sqref="J170">
    <cfRule type="cellIs" dxfId="441" priority="4" operator="equal">
      <formula>0</formula>
    </cfRule>
    <cfRule type="cellIs" priority="3" operator="equal">
      <formula>0</formula>
    </cfRule>
  </conditionalFormatting>
  <conditionalFormatting sqref="B180:C180">
    <cfRule type="duplicateValues" dxfId="442" priority="224"/>
  </conditionalFormatting>
  <conditionalFormatting sqref="I182">
    <cfRule type="cellIs" dxfId="443" priority="223" operator="equal">
      <formula>0</formula>
    </cfRule>
    <cfRule type="cellIs" priority="222" operator="equal">
      <formula>0</formula>
    </cfRule>
  </conditionalFormatting>
  <conditionalFormatting sqref="I183">
    <cfRule type="cellIs" dxfId="444" priority="198" operator="equal">
      <formula>0</formula>
    </cfRule>
    <cfRule type="cellIs" priority="197" operator="equal">
      <formula>0</formula>
    </cfRule>
  </conditionalFormatting>
  <conditionalFormatting sqref="I184">
    <cfRule type="cellIs" dxfId="445" priority="200" operator="equal">
      <formula>0</formula>
    </cfRule>
    <cfRule type="cellIs" priority="199" operator="equal">
      <formula>0</formula>
    </cfRule>
  </conditionalFormatting>
  <conditionalFormatting sqref="B192:C192">
    <cfRule type="duplicateValues" dxfId="446" priority="221"/>
  </conditionalFormatting>
  <conditionalFormatting sqref="I193">
    <cfRule type="cellIs" dxfId="447" priority="177" operator="equal">
      <formula>0</formula>
    </cfRule>
    <cfRule type="cellIs" priority="176" operator="equal">
      <formula>0</formula>
    </cfRule>
  </conditionalFormatting>
  <conditionalFormatting sqref="J194">
    <cfRule type="cellIs" dxfId="448" priority="2" operator="equal">
      <formula>0</formula>
    </cfRule>
    <cfRule type="cellIs" priority="1" operator="equal">
      <formula>0</formula>
    </cfRule>
  </conditionalFormatting>
  <conditionalFormatting sqref="D197">
    <cfRule type="duplicateValues" dxfId="449" priority="169"/>
  </conditionalFormatting>
  <conditionalFormatting sqref="I197">
    <cfRule type="cellIs" dxfId="450" priority="168" operator="equal">
      <formula>0</formula>
    </cfRule>
    <cfRule type="cellIs" priority="167" operator="equal">
      <formula>0</formula>
    </cfRule>
  </conditionalFormatting>
  <conditionalFormatting sqref="D198">
    <cfRule type="duplicateValues" dxfId="451" priority="160"/>
  </conditionalFormatting>
  <conditionalFormatting sqref="I198">
    <cfRule type="cellIs" dxfId="452" priority="159" operator="equal">
      <formula>0</formula>
    </cfRule>
    <cfRule type="cellIs" priority="158" operator="equal">
      <formula>0</formula>
    </cfRule>
  </conditionalFormatting>
  <conditionalFormatting sqref="D199">
    <cfRule type="duplicateValues" dxfId="453" priority="163"/>
  </conditionalFormatting>
  <conditionalFormatting sqref="I199">
    <cfRule type="cellIs" dxfId="454" priority="162" operator="equal">
      <formula>0</formula>
    </cfRule>
    <cfRule type="cellIs" priority="161" operator="equal">
      <formula>0</formula>
    </cfRule>
  </conditionalFormatting>
  <conditionalFormatting sqref="D200">
    <cfRule type="duplicateValues" dxfId="455" priority="166"/>
  </conditionalFormatting>
  <conditionalFormatting sqref="I200">
    <cfRule type="cellIs" dxfId="456" priority="165" operator="equal">
      <formula>0</formula>
    </cfRule>
    <cfRule type="cellIs" priority="164" operator="equal">
      <formula>0</formula>
    </cfRule>
  </conditionalFormatting>
  <conditionalFormatting sqref="D201">
    <cfRule type="duplicateValues" dxfId="457" priority="172"/>
  </conditionalFormatting>
  <conditionalFormatting sqref="I201">
    <cfRule type="cellIs" dxfId="458" priority="171" operator="equal">
      <formula>0</formula>
    </cfRule>
    <cfRule type="cellIs" priority="170" operator="equal">
      <formula>0</formula>
    </cfRule>
  </conditionalFormatting>
  <conditionalFormatting sqref="D202">
    <cfRule type="duplicateValues" dxfId="459" priority="175"/>
  </conditionalFormatting>
  <conditionalFormatting sqref="I202">
    <cfRule type="cellIs" dxfId="460" priority="174" operator="equal">
      <formula>0</formula>
    </cfRule>
    <cfRule type="cellIs" priority="173" operator="equal">
      <formula>0</formula>
    </cfRule>
  </conditionalFormatting>
  <conditionalFormatting sqref="B115:B116">
    <cfRule type="duplicateValues" dxfId="461" priority="147"/>
  </conditionalFormatting>
  <conditionalFormatting sqref="D7:D8">
    <cfRule type="duplicateValues" dxfId="462" priority="62"/>
  </conditionalFormatting>
  <conditionalFormatting sqref="D94:D109">
    <cfRule type="duplicateValues" dxfId="463" priority="157"/>
  </conditionalFormatting>
  <conditionalFormatting sqref="D111:D113">
    <cfRule type="duplicateValues" dxfId="464" priority="152"/>
  </conditionalFormatting>
  <conditionalFormatting sqref="D115:D116">
    <cfRule type="duplicateValues" dxfId="465" priority="146"/>
  </conditionalFormatting>
  <conditionalFormatting sqref="I7:I8">
    <cfRule type="cellIs" dxfId="466" priority="59" operator="equal">
      <formula>0</formula>
    </cfRule>
    <cfRule type="cellIs" priority="58" operator="equal">
      <formula>0</formula>
    </cfRule>
  </conditionalFormatting>
  <conditionalFormatting sqref="I11:I12">
    <cfRule type="cellIs" dxfId="467" priority="76" operator="equal">
      <formula>0</formula>
    </cfRule>
    <cfRule type="cellIs" priority="75" operator="equal">
      <formula>0</formula>
    </cfRule>
  </conditionalFormatting>
  <conditionalFormatting sqref="I24:I27">
    <cfRule type="cellIs" dxfId="468" priority="112" operator="equal">
      <formula>0</formula>
    </cfRule>
    <cfRule type="cellIs" priority="111" operator="equal">
      <formula>0</formula>
    </cfRule>
  </conditionalFormatting>
  <conditionalFormatting sqref="I28:I29">
    <cfRule type="cellIs" dxfId="469" priority="110" operator="equal">
      <formula>0</formula>
    </cfRule>
    <cfRule type="cellIs" priority="109" operator="equal">
      <formula>0</formula>
    </cfRule>
  </conditionalFormatting>
  <conditionalFormatting sqref="I31:I32">
    <cfRule type="cellIs" dxfId="470" priority="108" operator="equal">
      <formula>0</formula>
    </cfRule>
    <cfRule type="cellIs" priority="107" operator="equal">
      <formula>0</formula>
    </cfRule>
  </conditionalFormatting>
  <conditionalFormatting sqref="I34:I38">
    <cfRule type="cellIs" dxfId="471" priority="106" operator="equal">
      <formula>0</formula>
    </cfRule>
    <cfRule type="cellIs" priority="105" operator="equal">
      <formula>0</formula>
    </cfRule>
  </conditionalFormatting>
  <conditionalFormatting sqref="I40:I42">
    <cfRule type="cellIs" dxfId="472" priority="104" operator="equal">
      <formula>0</formula>
    </cfRule>
    <cfRule type="cellIs" priority="103" operator="equal">
      <formula>0</formula>
    </cfRule>
  </conditionalFormatting>
  <conditionalFormatting sqref="I44:I48">
    <cfRule type="cellIs" dxfId="473" priority="102" operator="equal">
      <formula>0</formula>
    </cfRule>
    <cfRule type="cellIs" priority="101" operator="equal">
      <formula>0</formula>
    </cfRule>
  </conditionalFormatting>
  <conditionalFormatting sqref="I50:I52">
    <cfRule type="cellIs" dxfId="474" priority="100" operator="equal">
      <formula>0</formula>
    </cfRule>
    <cfRule type="cellIs" priority="99" operator="equal">
      <formula>0</formula>
    </cfRule>
  </conditionalFormatting>
  <conditionalFormatting sqref="I55:I57">
    <cfRule type="cellIs" dxfId="475" priority="120" operator="equal">
      <formula>0</formula>
    </cfRule>
    <cfRule type="cellIs" priority="119" operator="equal">
      <formula>0</formula>
    </cfRule>
  </conditionalFormatting>
  <conditionalFormatting sqref="I94:I109">
    <cfRule type="cellIs" dxfId="476" priority="194" operator="equal">
      <formula>0</formula>
    </cfRule>
    <cfRule type="cellIs" priority="193" operator="equal">
      <formula>0</formula>
    </cfRule>
  </conditionalFormatting>
  <conditionalFormatting sqref="I111:I113">
    <cfRule type="cellIs" dxfId="477" priority="137" operator="equal">
      <formula>0</formula>
    </cfRule>
    <cfRule type="cellIs" priority="136" operator="equal">
      <formula>0</formula>
    </cfRule>
  </conditionalFormatting>
  <conditionalFormatting sqref="I122:I123">
    <cfRule type="cellIs" dxfId="478" priority="192" operator="equal">
      <formula>0</formula>
    </cfRule>
    <cfRule type="cellIs" priority="191" operator="equal">
      <formula>0</formula>
    </cfRule>
  </conditionalFormatting>
  <conditionalFormatting sqref="I125:I126">
    <cfRule type="cellIs" dxfId="479" priority="190" operator="equal">
      <formula>0</formula>
    </cfRule>
    <cfRule type="cellIs" priority="189" operator="equal">
      <formula>0</formula>
    </cfRule>
  </conditionalFormatting>
  <conditionalFormatting sqref="I157:I158">
    <cfRule type="cellIs" dxfId="480" priority="210" operator="equal">
      <formula>0</formula>
    </cfRule>
    <cfRule type="cellIs" priority="209" operator="equal">
      <formula>0</formula>
    </cfRule>
  </conditionalFormatting>
  <conditionalFormatting sqref="I163:I165">
    <cfRule type="cellIs" dxfId="481" priority="208" operator="equal">
      <formula>0</formula>
    </cfRule>
    <cfRule type="cellIs" priority="207" operator="equal">
      <formula>0</formula>
    </cfRule>
  </conditionalFormatting>
  <conditionalFormatting sqref="I172:I175">
    <cfRule type="cellIs" dxfId="482" priority="204" operator="equal">
      <formula>0</formula>
    </cfRule>
    <cfRule type="cellIs" priority="203" operator="equal">
      <formula>0</formula>
    </cfRule>
  </conditionalFormatting>
  <conditionalFormatting sqref="I186:I187">
    <cfRule type="cellIs" dxfId="483" priority="196" operator="equal">
      <formula>0</formula>
    </cfRule>
    <cfRule type="cellIs" priority="195" operator="equal">
      <formula>0</formula>
    </cfRule>
  </conditionalFormatting>
  <conditionalFormatting sqref="J111:J113">
    <cfRule type="cellIs" dxfId="484" priority="28" operator="equal">
      <formula>0</formula>
    </cfRule>
    <cfRule type="cellIs" priority="27" operator="equal">
      <formula>0</formula>
    </cfRule>
  </conditionalFormatting>
  <conditionalFormatting sqref="J139:J141">
    <cfRule type="cellIs" dxfId="485" priority="10" operator="equal">
      <formula>0</formula>
    </cfRule>
    <cfRule type="cellIs" priority="9" operator="equal">
      <formula>0</formula>
    </cfRule>
  </conditionalFormatting>
  <conditionalFormatting sqref="K7:K8">
    <cfRule type="cellIs" dxfId="486" priority="61" operator="equal">
      <formula>0</formula>
    </cfRule>
    <cfRule type="cellIs" priority="60" operator="equal">
      <formula>0</formula>
    </cfRule>
  </conditionalFormatting>
  <conditionalFormatting sqref="K11:K12">
    <cfRule type="cellIs" dxfId="487" priority="78" operator="equal">
      <formula>0</formula>
    </cfRule>
    <cfRule type="cellIs" priority="77" operator="equal">
      <formula>0</formula>
    </cfRule>
  </conditionalFormatting>
  <conditionalFormatting sqref="K51:K52">
    <cfRule type="cellIs" dxfId="488" priority="20" operator="equal">
      <formula>0</formula>
    </cfRule>
    <cfRule type="cellIs" priority="19" operator="equal">
      <formula>0</formula>
    </cfRule>
  </conditionalFormatting>
  <conditionalFormatting sqref="K111:K113">
    <cfRule type="cellIs" dxfId="489" priority="151" operator="equal">
      <formula>0</formula>
    </cfRule>
    <cfRule type="cellIs" priority="150" operator="equal">
      <formula>0</formula>
    </cfRule>
  </conditionalFormatting>
  <conditionalFormatting sqref="K115:K116">
    <cfRule type="cellIs" dxfId="490" priority="143" operator="equal">
      <formula>0</formula>
    </cfRule>
    <cfRule type="cellIs" priority="142" operator="equal">
      <formula>0</formula>
    </cfRule>
  </conditionalFormatting>
  <conditionalFormatting sqref="M95:M109">
    <cfRule type="cellIs" dxfId="491" priority="154" operator="equal">
      <formula>0</formula>
    </cfRule>
    <cfRule type="cellIs" priority="153" operator="equal">
      <formula>0</formula>
    </cfRule>
  </conditionalFormatting>
  <conditionalFormatting sqref="M111:M113">
    <cfRule type="cellIs" priority="148" operator="equal">
      <formula>0</formula>
    </cfRule>
    <cfRule type="cellIs" dxfId="492" priority="149" operator="equal">
      <formula>0</formula>
    </cfRule>
  </conditionalFormatting>
  <conditionalFormatting sqref="M115:M116">
    <cfRule type="cellIs" priority="140" operator="equal">
      <formula>0</formula>
    </cfRule>
    <cfRule type="cellIs" dxfId="493" priority="141" operator="equal">
      <formula>0</formula>
    </cfRule>
  </conditionalFormatting>
  <conditionalFormatting sqref="D204:D1048576 D92:D93 D1:D3 D110 D114 D117:D159 D161:D192">
    <cfRule type="duplicateValues" dxfId="494" priority="234"/>
  </conditionalFormatting>
  <conditionalFormatting sqref="D9:D20 D4:D5 D23:D91">
    <cfRule type="duplicateValues" dxfId="495" priority="134"/>
  </conditionalFormatting>
  <conditionalFormatting sqref="I61:I62 I4:I5 I30 I39 I54 I59 I66:I67 I82:I85 I77:I80 I69:I75 I89:I91 I33 I9 I13 K4:K6 K13 K16:K20 I16:I17 K9:K10 K23:K50 K53:K56 K58:K91">
    <cfRule type="cellIs" dxfId="496" priority="133" operator="equal">
      <formula>0</formula>
    </cfRule>
  </conditionalFormatting>
  <conditionalFormatting sqref="I61:I62 I30 I39 I54 I59 I66:I67 I82:I85 I77:I80 I69:I75 I89:I91 I33 I9 I13 K6 K13 K16:K20 I16:I17 K9:K10 K23:K50 K53:K56 K58:K91">
    <cfRule type="cellIs" priority="132" operator="equal">
      <formula>0</formula>
    </cfRule>
  </conditionalFormatting>
  <conditionalFormatting sqref="I14:I15 K14:K15">
    <cfRule type="cellIs" dxfId="497" priority="74" operator="equal">
      <formula>0</formula>
    </cfRule>
    <cfRule type="cellIs" priority="73" operator="equal">
      <formula>0</formula>
    </cfRule>
  </conditionalFormatting>
  <conditionalFormatting sqref="I18:I20 I23">
    <cfRule type="cellIs" dxfId="498" priority="114" operator="equal">
      <formula>0</formula>
    </cfRule>
    <cfRule type="cellIs" priority="113" operator="equal">
      <formula>0</formula>
    </cfRule>
  </conditionalFormatting>
  <conditionalFormatting sqref="I124 I127:I136 I154:I156 I142:I144 I147:I150 I152 I159 I166:I168 I176:I181 I171 I185 I188:I192 I204:I1048576 J116:J117 I114:K114 J118:K136 I92:K93 I161:I162 I110:K110 K94:K109 I116:I121 J150:K155 J149 J175:K193 I138:K138 K137 J142:K148 K139:K141 K161:K174 K156:K159 J195:K1048576 K194">
    <cfRule type="cellIs" dxfId="499" priority="233" operator="equal">
      <formula>0</formula>
    </cfRule>
  </conditionalFormatting>
  <conditionalFormatting sqref="I124 I127:I136 I154:I156 I142:I144 I147:I150 I152 I159 I166:I168 I176:I181 I171 I185 I188:I192 J116:J117 I114:K114 J118:K136 I92:K93 I161:I162 I110:K110 K94:K109 I116:I121 J150:K155 J149 J175:K193 I138:K138 K137 J142:K148 K139:K141 K161:K174 K156:K159 J195:K203 K194">
    <cfRule type="cellIs" priority="232" operator="equal">
      <formula>0</formula>
    </cfRule>
  </conditionalFormatting>
  <conditionalFormatting sqref="J99 J108:J109">
    <cfRule type="cellIs" dxfId="500" priority="54" operator="equal">
      <formula>0</formula>
    </cfRule>
    <cfRule type="cellIs" priority="53" operator="equal">
      <formula>0</formula>
    </cfRule>
  </conditionalFormatting>
  <conditionalFormatting sqref="B114:C114 B117:C117">
    <cfRule type="duplicateValues" dxfId="501" priority="228"/>
  </conditionalFormatting>
  <conditionalFormatting sqref="J161:J169 J156:J159 J171:J174">
    <cfRule type="cellIs" dxfId="502" priority="8" operator="equal">
      <formula>0</formula>
    </cfRule>
    <cfRule type="cellIs" priority="7" operator="equal">
      <formula>0</formula>
    </cfRule>
  </conditionalFormatting>
  <conditionalFormatting sqref="I160 K160">
    <cfRule type="cellIs" dxfId="503" priority="56" operator="equal">
      <formula>0</formula>
    </cfRule>
    <cfRule type="cellIs" priority="55" operator="equal">
      <formula>0</formula>
    </cfRule>
  </conditionalFormatting>
  <conditionalFormatting sqref="D203 D193:D196">
    <cfRule type="duplicateValues" dxfId="504" priority="180"/>
  </conditionalFormatting>
  <conditionalFormatting sqref="I194:I196 I203">
    <cfRule type="cellIs" dxfId="505" priority="179" operator="equal">
      <formula>0</formula>
    </cfRule>
    <cfRule type="cellIs" priority="178" operator="equal">
      <formula>0</formula>
    </cfRule>
  </conditionalFormatting>
  <pageMargins left="0.699305555555556" right="0.699305555555556" top="0.75" bottom="0.75" header="0.3" footer="0.3"/>
  <pageSetup paperSize="9" orientation="portrait"/>
  <headerFooter/>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outlinePr summaryBelow="0"/>
  </sheetPr>
  <dimension ref="A1:Z200"/>
  <sheetViews>
    <sheetView zoomScale="70" zoomScaleNormal="70" workbookViewId="0">
      <pane xSplit="4" ySplit="3" topLeftCell="E4" activePane="bottomRight" state="frozen"/>
      <selection/>
      <selection pane="topRight"/>
      <selection pane="bottomLeft"/>
      <selection pane="bottomRight" activeCell="A1" sqref="A1"/>
    </sheetView>
  </sheetViews>
  <sheetFormatPr defaultColWidth="9" defaultRowHeight="24" customHeight="1"/>
  <cols>
    <col min="1" max="1" width="3.4" style="168" customWidth="1"/>
    <col min="2" max="2" width="17.6" style="168" customWidth="1"/>
    <col min="3" max="3" width="5.1" style="166" customWidth="1"/>
    <col min="4" max="4" width="26.1" style="168" customWidth="1"/>
    <col min="5" max="5" width="26.4" style="166" customWidth="1"/>
    <col min="6" max="6" width="17" style="166" customWidth="1"/>
    <col min="7" max="7" width="8.4" style="166" customWidth="1"/>
    <col min="8" max="8" width="7.4" style="166" customWidth="1"/>
    <col min="9" max="12" width="9" style="458" customWidth="1"/>
    <col min="13" max="13" width="9.1" style="166" customWidth="1"/>
    <col min="14" max="14" width="9.6" style="459" customWidth="1"/>
    <col min="15" max="15" width="13.1" style="169" customWidth="1"/>
    <col min="16" max="16" width="9.4" style="169" customWidth="1"/>
    <col min="17" max="17" width="9" style="168" customWidth="1"/>
    <col min="18" max="18" width="12.4" style="168" customWidth="1"/>
    <col min="19" max="19" width="20.6" style="168" customWidth="1"/>
    <col min="20" max="20" width="9.4" style="168" customWidth="1"/>
    <col min="21" max="21" width="26.6" style="168" customWidth="1"/>
    <col min="22" max="24" width="9.1" style="168" hidden="1" customWidth="1"/>
    <col min="25" max="25" width="9.1" style="168" customWidth="1"/>
    <col min="26" max="26" width="9.1" style="460" customWidth="1"/>
    <col min="27" max="27" width="9.1" style="168" customWidth="1"/>
    <col min="28" max="16384" width="9" style="168"/>
  </cols>
  <sheetData>
    <row r="1" ht="21.75" customHeight="1" spans="4:22">
      <c r="D1" s="558" t="s">
        <v>199</v>
      </c>
      <c r="E1" s="375" t="s">
        <v>505</v>
      </c>
      <c r="F1" s="375" t="s">
        <v>603</v>
      </c>
      <c r="G1" s="375" t="s">
        <v>862</v>
      </c>
      <c r="H1" s="375" t="s">
        <v>601</v>
      </c>
      <c r="I1" s="375" t="s">
        <v>602</v>
      </c>
      <c r="J1" s="375" t="s">
        <v>1252</v>
      </c>
      <c r="K1" s="375"/>
      <c r="L1" s="375"/>
      <c r="N1" s="482"/>
      <c r="O1" s="482"/>
      <c r="P1" s="482"/>
      <c r="T1" s="168">
        <v>418</v>
      </c>
      <c r="V1" s="559"/>
    </row>
    <row r="2" ht="17.25" customHeight="1" spans="4:22">
      <c r="D2" s="558" t="s">
        <v>1524</v>
      </c>
      <c r="E2" s="463">
        <v>3000</v>
      </c>
      <c r="F2" s="464">
        <v>0</v>
      </c>
      <c r="G2" s="465">
        <v>1800</v>
      </c>
      <c r="H2" s="465">
        <v>40</v>
      </c>
      <c r="I2" s="465">
        <v>2</v>
      </c>
      <c r="J2" s="465">
        <v>2</v>
      </c>
      <c r="K2" s="465"/>
      <c r="L2" s="465"/>
      <c r="N2" s="484"/>
      <c r="O2" s="484"/>
      <c r="P2" s="484"/>
      <c r="V2" s="559"/>
    </row>
    <row r="3" s="166" customFormat="1" customHeight="1" spans="2:16">
      <c r="B3" s="466" t="s">
        <v>21</v>
      </c>
      <c r="C3" s="466"/>
      <c r="D3" s="466" t="s">
        <v>494</v>
      </c>
      <c r="E3" s="467" t="s">
        <v>605</v>
      </c>
      <c r="F3" s="467" t="s">
        <v>606</v>
      </c>
      <c r="G3" s="467" t="s">
        <v>607</v>
      </c>
      <c r="H3" s="467" t="s">
        <v>608</v>
      </c>
      <c r="I3" s="467" t="s">
        <v>1525</v>
      </c>
      <c r="J3" s="485" t="s">
        <v>610</v>
      </c>
      <c r="K3" s="486" t="s">
        <v>611</v>
      </c>
      <c r="L3" s="485" t="s">
        <v>612</v>
      </c>
      <c r="M3" s="485" t="s">
        <v>613</v>
      </c>
      <c r="N3" s="52" t="s">
        <v>614</v>
      </c>
      <c r="O3" s="487" t="s">
        <v>1526</v>
      </c>
      <c r="P3" s="466" t="s">
        <v>1300</v>
      </c>
    </row>
    <row r="4" ht="16.5" customHeight="1" spans="2:26">
      <c r="B4" s="468" t="s">
        <v>875</v>
      </c>
      <c r="C4" s="469" t="s">
        <v>533</v>
      </c>
      <c r="D4" s="468" t="s">
        <v>481</v>
      </c>
      <c r="E4" s="192"/>
      <c r="F4" s="192"/>
      <c r="G4" s="192"/>
      <c r="H4" s="192"/>
      <c r="I4" s="488"/>
      <c r="J4" s="192"/>
      <c r="K4" s="489"/>
      <c r="L4" s="192"/>
      <c r="M4" s="192"/>
      <c r="N4" s="490">
        <v>574.693548</v>
      </c>
      <c r="O4" s="491">
        <v>1915.64516</v>
      </c>
      <c r="P4" s="230"/>
      <c r="Z4" s="168"/>
    </row>
    <row r="5" ht="16.5" customHeight="1" outlineLevel="1" spans="2:26">
      <c r="B5" s="121" t="s">
        <v>534</v>
      </c>
      <c r="C5" s="193">
        <v>1</v>
      </c>
      <c r="D5" s="121" t="s">
        <v>1527</v>
      </c>
      <c r="E5" s="193"/>
      <c r="F5" s="193"/>
      <c r="G5" s="193"/>
      <c r="H5" s="155"/>
      <c r="I5" s="492"/>
      <c r="J5" s="155"/>
      <c r="K5" s="493"/>
      <c r="L5" s="494">
        <v>416.89188011088</v>
      </c>
      <c r="M5" s="494">
        <v>47.5844578891199</v>
      </c>
      <c r="N5" s="494">
        <v>464.476338</v>
      </c>
      <c r="O5" s="495">
        <v>1548.25446</v>
      </c>
      <c r="P5" s="233"/>
      <c r="Z5" s="168"/>
    </row>
    <row r="6" ht="16.5" customHeight="1" outlineLevel="3" spans="2:26">
      <c r="B6" s="470" t="s">
        <v>1528</v>
      </c>
      <c r="C6" s="471" t="s">
        <v>619</v>
      </c>
      <c r="D6" s="470" t="s">
        <v>1529</v>
      </c>
      <c r="E6" s="95" t="s">
        <v>774</v>
      </c>
      <c r="F6" s="95"/>
      <c r="G6" s="236"/>
      <c r="H6" s="472"/>
      <c r="I6" s="144"/>
      <c r="J6" s="496"/>
      <c r="K6" s="497"/>
      <c r="L6" s="498">
        <v>3.888</v>
      </c>
      <c r="M6" s="498">
        <v>0.42768</v>
      </c>
      <c r="N6" s="498">
        <v>4.31568</v>
      </c>
      <c r="O6" s="499">
        <v>14.3856</v>
      </c>
      <c r="P6" s="309"/>
      <c r="Z6" s="168"/>
    </row>
    <row r="7" ht="16.5" customHeight="1" outlineLevel="4" spans="2:26">
      <c r="B7" s="470" t="s">
        <v>1530</v>
      </c>
      <c r="C7" s="473" t="s">
        <v>622</v>
      </c>
      <c r="D7" s="474" t="s">
        <v>1531</v>
      </c>
      <c r="E7" s="95"/>
      <c r="F7" s="95"/>
      <c r="G7" s="95">
        <v>2</v>
      </c>
      <c r="H7" s="472" t="s">
        <v>827</v>
      </c>
      <c r="I7" s="144">
        <v>3000</v>
      </c>
      <c r="J7" s="496"/>
      <c r="K7" s="497">
        <v>0.11</v>
      </c>
      <c r="L7" s="496">
        <v>0</v>
      </c>
      <c r="M7" s="496">
        <v>0</v>
      </c>
      <c r="N7" s="498">
        <v>0</v>
      </c>
      <c r="O7" s="499">
        <v>0</v>
      </c>
      <c r="P7" s="309"/>
      <c r="Z7" s="168"/>
    </row>
    <row r="8" ht="16.5" customHeight="1" outlineLevel="4" spans="2:26">
      <c r="B8" s="470" t="s">
        <v>1532</v>
      </c>
      <c r="C8" s="473" t="s">
        <v>622</v>
      </c>
      <c r="D8" s="474" t="s">
        <v>1533</v>
      </c>
      <c r="E8" s="95"/>
      <c r="F8" s="95"/>
      <c r="G8" s="95">
        <v>2</v>
      </c>
      <c r="H8" s="472" t="s">
        <v>827</v>
      </c>
      <c r="I8" s="144">
        <v>1800</v>
      </c>
      <c r="J8" s="496">
        <v>10.8</v>
      </c>
      <c r="K8" s="497">
        <v>0.11</v>
      </c>
      <c r="L8" s="496">
        <v>3.888</v>
      </c>
      <c r="M8" s="496">
        <v>0.42768</v>
      </c>
      <c r="N8" s="498">
        <v>4.31568</v>
      </c>
      <c r="O8" s="499">
        <v>14.3856</v>
      </c>
      <c r="P8" s="309"/>
      <c r="Z8" s="168"/>
    </row>
    <row r="9" ht="16.5" customHeight="1" outlineLevel="3" spans="2:26">
      <c r="B9" s="470" t="s">
        <v>1534</v>
      </c>
      <c r="C9" s="471" t="s">
        <v>657</v>
      </c>
      <c r="D9" s="470" t="s">
        <v>535</v>
      </c>
      <c r="E9" s="95"/>
      <c r="F9" s="95"/>
      <c r="G9" s="236"/>
      <c r="H9" s="236"/>
      <c r="I9" s="144"/>
      <c r="J9" s="500"/>
      <c r="K9" s="497"/>
      <c r="L9" s="498">
        <v>413.00388011088</v>
      </c>
      <c r="M9" s="498">
        <v>47.1567778891199</v>
      </c>
      <c r="N9" s="498">
        <v>460.160658</v>
      </c>
      <c r="O9" s="499">
        <v>1533.86886</v>
      </c>
      <c r="P9" s="309"/>
      <c r="Z9" s="168"/>
    </row>
    <row r="10" ht="16.5" customHeight="1" outlineLevel="4" spans="2:26">
      <c r="B10" s="470" t="s">
        <v>1535</v>
      </c>
      <c r="C10" s="473" t="s">
        <v>622</v>
      </c>
      <c r="D10" s="470" t="s">
        <v>1536</v>
      </c>
      <c r="E10" s="290" t="s">
        <v>774</v>
      </c>
      <c r="F10" s="290" t="s">
        <v>1537</v>
      </c>
      <c r="G10" s="475"/>
      <c r="H10" s="292"/>
      <c r="I10" s="475"/>
      <c r="J10" s="500"/>
      <c r="K10" s="497"/>
      <c r="L10" s="498">
        <v>53.5135135135135</v>
      </c>
      <c r="M10" s="498">
        <v>5.88648648648649</v>
      </c>
      <c r="N10" s="498">
        <v>59.4</v>
      </c>
      <c r="O10" s="499">
        <v>198</v>
      </c>
      <c r="P10" s="309"/>
      <c r="Z10" s="168"/>
    </row>
    <row r="11" ht="16.5" customHeight="1" outlineLevel="5" spans="2:26">
      <c r="B11" s="470" t="s">
        <v>1538</v>
      </c>
      <c r="C11" s="473"/>
      <c r="D11" s="476" t="s">
        <v>1539</v>
      </c>
      <c r="E11" s="290"/>
      <c r="F11" s="290" t="s">
        <v>1537</v>
      </c>
      <c r="G11" s="475">
        <v>0.45</v>
      </c>
      <c r="H11" s="292" t="s">
        <v>827</v>
      </c>
      <c r="I11" s="475">
        <v>3000</v>
      </c>
      <c r="J11" s="500"/>
      <c r="K11" s="497">
        <v>0.17</v>
      </c>
      <c r="L11" s="496">
        <v>0</v>
      </c>
      <c r="M11" s="496">
        <v>0</v>
      </c>
      <c r="N11" s="498">
        <v>0</v>
      </c>
      <c r="O11" s="499"/>
      <c r="P11" s="309"/>
      <c r="Z11" s="168"/>
    </row>
    <row r="12" ht="16.5" customHeight="1" outlineLevel="5" spans="2:26">
      <c r="B12" s="470" t="s">
        <v>1540</v>
      </c>
      <c r="C12" s="473"/>
      <c r="D12" s="476" t="s">
        <v>1541</v>
      </c>
      <c r="E12" s="290"/>
      <c r="F12" s="290" t="s">
        <v>1537</v>
      </c>
      <c r="G12" s="475">
        <v>0.45</v>
      </c>
      <c r="H12" s="292" t="s">
        <v>827</v>
      </c>
      <c r="I12" s="475">
        <v>3000</v>
      </c>
      <c r="J12" s="500">
        <v>396.396396396396</v>
      </c>
      <c r="K12" s="497">
        <v>0.11</v>
      </c>
      <c r="L12" s="496">
        <v>53.5135135135135</v>
      </c>
      <c r="M12" s="496">
        <v>5.88648648648649</v>
      </c>
      <c r="N12" s="498">
        <v>59.4</v>
      </c>
      <c r="O12" s="499"/>
      <c r="P12" s="309"/>
      <c r="Z12" s="168"/>
    </row>
    <row r="13" ht="16.5" customHeight="1" outlineLevel="4" spans="2:26">
      <c r="B13" s="470" t="s">
        <v>1542</v>
      </c>
      <c r="C13" s="473" t="s">
        <v>622</v>
      </c>
      <c r="D13" s="470" t="s">
        <v>1543</v>
      </c>
      <c r="E13" s="290" t="s">
        <v>774</v>
      </c>
      <c r="F13" s="290" t="s">
        <v>1537</v>
      </c>
      <c r="G13" s="475"/>
      <c r="H13" s="292"/>
      <c r="I13" s="475"/>
      <c r="J13" s="500"/>
      <c r="K13" s="497"/>
      <c r="L13" s="498">
        <v>66.2162162162162</v>
      </c>
      <c r="M13" s="498">
        <v>7.28378378378378</v>
      </c>
      <c r="N13" s="498">
        <v>73.5</v>
      </c>
      <c r="O13" s="499">
        <v>245</v>
      </c>
      <c r="P13" s="309"/>
      <c r="Z13" s="168"/>
    </row>
    <row r="14" ht="16.5" customHeight="1" outlineLevel="5" spans="2:26">
      <c r="B14" s="470" t="s">
        <v>1544</v>
      </c>
      <c r="C14" s="473"/>
      <c r="D14" s="476" t="s">
        <v>1545</v>
      </c>
      <c r="E14" s="290"/>
      <c r="F14" s="290"/>
      <c r="G14" s="475">
        <v>49</v>
      </c>
      <c r="H14" s="292" t="s">
        <v>1546</v>
      </c>
      <c r="I14" s="475">
        <v>3000</v>
      </c>
      <c r="J14" s="500"/>
      <c r="K14" s="497">
        <v>0.17</v>
      </c>
      <c r="L14" s="496">
        <v>0</v>
      </c>
      <c r="M14" s="496">
        <v>0</v>
      </c>
      <c r="N14" s="498">
        <v>0</v>
      </c>
      <c r="O14" s="499">
        <v>0</v>
      </c>
      <c r="P14" s="309"/>
      <c r="Z14" s="168"/>
    </row>
    <row r="15" ht="16.5" customHeight="1" outlineLevel="5" spans="2:26">
      <c r="B15" s="470" t="s">
        <v>1547</v>
      </c>
      <c r="C15" s="473"/>
      <c r="D15" s="476" t="s">
        <v>1548</v>
      </c>
      <c r="E15" s="290"/>
      <c r="F15" s="290"/>
      <c r="G15" s="475">
        <v>49</v>
      </c>
      <c r="H15" s="292" t="s">
        <v>1546</v>
      </c>
      <c r="I15" s="475">
        <v>3000</v>
      </c>
      <c r="J15" s="500">
        <v>4.5045045045045</v>
      </c>
      <c r="K15" s="497">
        <v>0.11</v>
      </c>
      <c r="L15" s="496">
        <v>66.2162162162162</v>
      </c>
      <c r="M15" s="496">
        <v>7.28378378378378</v>
      </c>
      <c r="N15" s="498">
        <v>73.5</v>
      </c>
      <c r="O15" s="499">
        <v>245</v>
      </c>
      <c r="P15" s="309"/>
      <c r="Z15" s="168"/>
    </row>
    <row r="16" ht="16.5" customHeight="1" outlineLevel="4" spans="2:26">
      <c r="B16" s="470" t="s">
        <v>1549</v>
      </c>
      <c r="C16" s="473" t="s">
        <v>622</v>
      </c>
      <c r="D16" s="470" t="s">
        <v>1550</v>
      </c>
      <c r="E16" s="290" t="s">
        <v>774</v>
      </c>
      <c r="F16" s="290" t="s">
        <v>1537</v>
      </c>
      <c r="G16" s="475">
        <v>4</v>
      </c>
      <c r="H16" s="292" t="s">
        <v>1015</v>
      </c>
      <c r="I16" s="475">
        <v>3000</v>
      </c>
      <c r="J16" s="475">
        <v>49.55</v>
      </c>
      <c r="K16" s="497">
        <v>0.11</v>
      </c>
      <c r="L16" s="496">
        <v>59.46</v>
      </c>
      <c r="M16" s="496">
        <v>6.5406</v>
      </c>
      <c r="N16" s="498">
        <v>66.0006</v>
      </c>
      <c r="O16" s="499">
        <v>220.002</v>
      </c>
      <c r="P16" s="236"/>
      <c r="Z16" s="168"/>
    </row>
    <row r="17" ht="16.5" customHeight="1" outlineLevel="4" spans="2:26">
      <c r="B17" s="470" t="s">
        <v>1551</v>
      </c>
      <c r="C17" s="473" t="s">
        <v>622</v>
      </c>
      <c r="D17" s="470" t="s">
        <v>1552</v>
      </c>
      <c r="E17" s="290" t="s">
        <v>774</v>
      </c>
      <c r="F17" s="290"/>
      <c r="G17" s="475"/>
      <c r="H17" s="292"/>
      <c r="I17" s="475"/>
      <c r="J17" s="200"/>
      <c r="K17" s="497"/>
      <c r="L17" s="498">
        <v>29.7297297297297</v>
      </c>
      <c r="M17" s="498">
        <v>3.27027027027027</v>
      </c>
      <c r="N17" s="498">
        <v>33</v>
      </c>
      <c r="O17" s="499">
        <v>110</v>
      </c>
      <c r="P17" s="236"/>
      <c r="Z17" s="168"/>
    </row>
    <row r="18" ht="16.5" customHeight="1" outlineLevel="5" spans="2:26">
      <c r="B18" s="470" t="s">
        <v>1553</v>
      </c>
      <c r="C18" s="473"/>
      <c r="D18" s="476" t="s">
        <v>1554</v>
      </c>
      <c r="E18" s="290"/>
      <c r="F18" s="290" t="s">
        <v>1537</v>
      </c>
      <c r="G18" s="475">
        <v>0.2</v>
      </c>
      <c r="H18" s="292" t="s">
        <v>827</v>
      </c>
      <c r="I18" s="475">
        <v>3000</v>
      </c>
      <c r="J18" s="200"/>
      <c r="K18" s="497">
        <v>0.17</v>
      </c>
      <c r="L18" s="496">
        <v>0</v>
      </c>
      <c r="M18" s="496">
        <v>0</v>
      </c>
      <c r="N18" s="498">
        <v>0</v>
      </c>
      <c r="O18" s="499">
        <v>0</v>
      </c>
      <c r="P18" s="236"/>
      <c r="Z18" s="168"/>
    </row>
    <row r="19" ht="16.5" customHeight="1" outlineLevel="5" spans="2:26">
      <c r="B19" s="470" t="s">
        <v>1555</v>
      </c>
      <c r="C19" s="473"/>
      <c r="D19" s="476" t="s">
        <v>1556</v>
      </c>
      <c r="E19" s="290"/>
      <c r="F19" s="290" t="s">
        <v>1537</v>
      </c>
      <c r="G19" s="475">
        <v>0.2</v>
      </c>
      <c r="H19" s="292" t="s">
        <v>827</v>
      </c>
      <c r="I19" s="475">
        <v>3000</v>
      </c>
      <c r="J19" s="475">
        <v>495.495495495495</v>
      </c>
      <c r="K19" s="497">
        <v>0.11</v>
      </c>
      <c r="L19" s="496">
        <v>29.7297297297297</v>
      </c>
      <c r="M19" s="496">
        <v>3.27027027027027</v>
      </c>
      <c r="N19" s="498">
        <v>33</v>
      </c>
      <c r="O19" s="499">
        <v>110</v>
      </c>
      <c r="P19" s="236"/>
      <c r="Z19" s="168"/>
    </row>
    <row r="20" ht="16.5" customHeight="1" outlineLevel="4" spans="2:26">
      <c r="B20" s="470" t="s">
        <v>1557</v>
      </c>
      <c r="C20" s="473" t="s">
        <v>622</v>
      </c>
      <c r="D20" s="470" t="s">
        <v>1558</v>
      </c>
      <c r="E20" s="290" t="s">
        <v>1353</v>
      </c>
      <c r="F20" s="290" t="s">
        <v>1537</v>
      </c>
      <c r="G20" s="478"/>
      <c r="H20" s="477"/>
      <c r="I20" s="475"/>
      <c r="J20" s="200"/>
      <c r="K20" s="497"/>
      <c r="L20" s="498">
        <v>0</v>
      </c>
      <c r="M20" s="498">
        <v>0</v>
      </c>
      <c r="N20" s="498">
        <v>0</v>
      </c>
      <c r="O20" s="499">
        <v>0</v>
      </c>
      <c r="P20" s="236"/>
      <c r="Z20" s="168"/>
    </row>
    <row r="21" ht="16.5" customHeight="1" outlineLevel="5" spans="2:26">
      <c r="B21" s="470" t="s">
        <v>1559</v>
      </c>
      <c r="C21" s="473"/>
      <c r="D21" s="476" t="s">
        <v>1560</v>
      </c>
      <c r="E21" s="290"/>
      <c r="F21" s="290" t="s">
        <v>1537</v>
      </c>
      <c r="G21" s="478"/>
      <c r="H21" s="477" t="s">
        <v>655</v>
      </c>
      <c r="I21" s="475">
        <v>3000</v>
      </c>
      <c r="J21" s="200"/>
      <c r="K21" s="497">
        <v>0.17</v>
      </c>
      <c r="L21" s="496">
        <v>0</v>
      </c>
      <c r="M21" s="496">
        <v>0</v>
      </c>
      <c r="N21" s="498">
        <v>0</v>
      </c>
      <c r="O21" s="499">
        <v>0</v>
      </c>
      <c r="P21" s="236"/>
      <c r="Z21" s="168"/>
    </row>
    <row r="22" ht="16.5" customHeight="1" outlineLevel="5" spans="2:26">
      <c r="B22" s="470" t="s">
        <v>1561</v>
      </c>
      <c r="C22" s="473"/>
      <c r="D22" s="476" t="s">
        <v>1562</v>
      </c>
      <c r="E22" s="290"/>
      <c r="F22" s="290" t="s">
        <v>1537</v>
      </c>
      <c r="G22" s="478"/>
      <c r="H22" s="477" t="s">
        <v>655</v>
      </c>
      <c r="I22" s="475">
        <v>3000</v>
      </c>
      <c r="J22" s="200"/>
      <c r="K22" s="497">
        <v>0.11</v>
      </c>
      <c r="L22" s="496">
        <v>0</v>
      </c>
      <c r="M22" s="496">
        <v>0</v>
      </c>
      <c r="N22" s="498">
        <v>0</v>
      </c>
      <c r="O22" s="499">
        <v>0</v>
      </c>
      <c r="P22" s="236"/>
      <c r="Z22" s="168"/>
    </row>
    <row r="23" ht="16.5" customHeight="1" outlineLevel="4" spans="2:26">
      <c r="B23" s="470" t="s">
        <v>1563</v>
      </c>
      <c r="C23" s="473" t="s">
        <v>622</v>
      </c>
      <c r="D23" s="470" t="s">
        <v>1564</v>
      </c>
      <c r="E23" s="479" t="s">
        <v>774</v>
      </c>
      <c r="F23" s="479"/>
      <c r="G23" s="478"/>
      <c r="H23" s="477" t="s">
        <v>827</v>
      </c>
      <c r="I23" s="475">
        <v>3000</v>
      </c>
      <c r="J23" s="500"/>
      <c r="K23" s="497"/>
      <c r="L23" s="498">
        <v>80.7627027027027</v>
      </c>
      <c r="M23" s="498">
        <v>8.8838972972973</v>
      </c>
      <c r="N23" s="498">
        <v>89.6466</v>
      </c>
      <c r="O23" s="499">
        <v>298.822</v>
      </c>
      <c r="P23" s="309"/>
      <c r="Z23" s="168"/>
    </row>
    <row r="24" ht="16.5" customHeight="1" outlineLevel="5" spans="2:26">
      <c r="B24" s="470" t="s">
        <v>1565</v>
      </c>
      <c r="C24" s="473"/>
      <c r="D24" s="476" t="s">
        <v>1945</v>
      </c>
      <c r="E24" s="290"/>
      <c r="F24" s="290" t="s">
        <v>1537</v>
      </c>
      <c r="G24" s="480">
        <v>1</v>
      </c>
      <c r="H24" s="477" t="s">
        <v>1015</v>
      </c>
      <c r="I24" s="475">
        <v>3000</v>
      </c>
      <c r="J24" s="500">
        <v>80</v>
      </c>
      <c r="K24" s="497">
        <v>0.11</v>
      </c>
      <c r="L24" s="496">
        <v>24</v>
      </c>
      <c r="M24" s="496">
        <v>2.64</v>
      </c>
      <c r="N24" s="498">
        <v>26.64</v>
      </c>
      <c r="O24" s="499">
        <v>88.8</v>
      </c>
      <c r="P24" s="309"/>
      <c r="Z24" s="168"/>
    </row>
    <row r="25" ht="16.5" customHeight="1" outlineLevel="5" spans="2:26">
      <c r="B25" s="470" t="s">
        <v>1567</v>
      </c>
      <c r="C25" s="473"/>
      <c r="D25" s="476" t="s">
        <v>1926</v>
      </c>
      <c r="E25" s="290"/>
      <c r="F25" s="290" t="s">
        <v>1537</v>
      </c>
      <c r="G25" s="480">
        <v>2.8</v>
      </c>
      <c r="H25" s="477" t="s">
        <v>1015</v>
      </c>
      <c r="I25" s="475">
        <v>3000</v>
      </c>
      <c r="J25" s="500">
        <v>45.7657657657658</v>
      </c>
      <c r="K25" s="497">
        <v>0.11</v>
      </c>
      <c r="L25" s="496">
        <v>38.4432432432432</v>
      </c>
      <c r="M25" s="496">
        <v>4.22875675675676</v>
      </c>
      <c r="N25" s="498">
        <v>42.672</v>
      </c>
      <c r="O25" s="499">
        <v>142.24</v>
      </c>
      <c r="P25" s="309"/>
      <c r="Z25" s="168"/>
    </row>
    <row r="26" ht="16.5" customHeight="1" outlineLevel="5" spans="2:26">
      <c r="B26" s="470" t="s">
        <v>1569</v>
      </c>
      <c r="C26" s="473"/>
      <c r="D26" s="476" t="s">
        <v>1927</v>
      </c>
      <c r="E26" s="290"/>
      <c r="F26" s="290" t="s">
        <v>1537</v>
      </c>
      <c r="G26" s="480">
        <v>1.5</v>
      </c>
      <c r="H26" s="477" t="s">
        <v>1015</v>
      </c>
      <c r="I26" s="475">
        <v>3000</v>
      </c>
      <c r="J26" s="500">
        <v>28.8288288288288</v>
      </c>
      <c r="K26" s="497">
        <v>0.11</v>
      </c>
      <c r="L26" s="496">
        <v>12.972972972973</v>
      </c>
      <c r="M26" s="496">
        <v>1.42702702702703</v>
      </c>
      <c r="N26" s="498">
        <v>14.4</v>
      </c>
      <c r="O26" s="499">
        <v>48</v>
      </c>
      <c r="P26" s="309"/>
      <c r="Z26" s="168"/>
    </row>
    <row r="27" ht="16.5" customHeight="1" outlineLevel="5" spans="2:26">
      <c r="B27" s="470" t="s">
        <v>1571</v>
      </c>
      <c r="C27" s="473"/>
      <c r="D27" s="476" t="s">
        <v>1928</v>
      </c>
      <c r="E27" s="290"/>
      <c r="F27" s="290" t="s">
        <v>1537</v>
      </c>
      <c r="G27" s="480">
        <v>0.3</v>
      </c>
      <c r="H27" s="477" t="s">
        <v>1015</v>
      </c>
      <c r="I27" s="475">
        <v>3000</v>
      </c>
      <c r="J27" s="500">
        <v>5.40540540540541</v>
      </c>
      <c r="K27" s="497">
        <v>0.11</v>
      </c>
      <c r="L27" s="496">
        <v>0.486486486486486</v>
      </c>
      <c r="M27" s="496">
        <v>0.0535135135135135</v>
      </c>
      <c r="N27" s="498">
        <v>0.54</v>
      </c>
      <c r="O27" s="499">
        <v>1.8</v>
      </c>
      <c r="P27" s="309"/>
      <c r="Z27" s="168"/>
    </row>
    <row r="28" ht="16.5" customHeight="1" outlineLevel="5" spans="2:26">
      <c r="B28" s="470" t="s">
        <v>1573</v>
      </c>
      <c r="C28" s="473"/>
      <c r="D28" s="476" t="s">
        <v>1574</v>
      </c>
      <c r="E28" s="290"/>
      <c r="F28" s="290" t="s">
        <v>1537</v>
      </c>
      <c r="G28" s="480">
        <v>0.9</v>
      </c>
      <c r="H28" s="477" t="s">
        <v>1015</v>
      </c>
      <c r="I28" s="475">
        <v>3000</v>
      </c>
      <c r="J28" s="500">
        <v>18</v>
      </c>
      <c r="K28" s="497">
        <v>0.11</v>
      </c>
      <c r="L28" s="496">
        <v>4.86</v>
      </c>
      <c r="M28" s="496">
        <v>0.5346</v>
      </c>
      <c r="N28" s="498">
        <v>5.3946</v>
      </c>
      <c r="O28" s="499">
        <v>17.982</v>
      </c>
      <c r="P28" s="309"/>
      <c r="Z28" s="168"/>
    </row>
    <row r="29" ht="16.5" customHeight="1" outlineLevel="4" spans="2:26">
      <c r="B29" s="470" t="s">
        <v>1575</v>
      </c>
      <c r="C29" s="473" t="s">
        <v>622</v>
      </c>
      <c r="D29" s="470" t="s">
        <v>1576</v>
      </c>
      <c r="E29" s="290" t="s">
        <v>1356</v>
      </c>
      <c r="F29" s="290" t="s">
        <v>1537</v>
      </c>
      <c r="G29" s="478"/>
      <c r="H29" s="477" t="s">
        <v>655</v>
      </c>
      <c r="I29" s="475">
        <v>3000</v>
      </c>
      <c r="J29" s="200"/>
      <c r="K29" s="497">
        <v>0.17</v>
      </c>
      <c r="L29" s="496">
        <v>0</v>
      </c>
      <c r="M29" s="496">
        <v>0</v>
      </c>
      <c r="N29" s="498">
        <v>0</v>
      </c>
      <c r="O29" s="499">
        <v>0</v>
      </c>
      <c r="P29" s="236"/>
      <c r="Z29" s="168"/>
    </row>
    <row r="30" ht="16.5" customHeight="1" outlineLevel="4" spans="2:26">
      <c r="B30" s="470" t="s">
        <v>1577</v>
      </c>
      <c r="C30" s="473" t="s">
        <v>622</v>
      </c>
      <c r="D30" s="470" t="s">
        <v>1578</v>
      </c>
      <c r="E30" s="479" t="s">
        <v>774</v>
      </c>
      <c r="F30" s="479"/>
      <c r="G30" s="478"/>
      <c r="H30" s="477"/>
      <c r="I30" s="200"/>
      <c r="J30" s="200"/>
      <c r="K30" s="41"/>
      <c r="L30" s="498">
        <v>5.085</v>
      </c>
      <c r="M30" s="498">
        <v>0.55935</v>
      </c>
      <c r="N30" s="498">
        <v>5.64435</v>
      </c>
      <c r="O30" s="499">
        <v>18.8145</v>
      </c>
      <c r="P30" s="236"/>
      <c r="Z30" s="168"/>
    </row>
    <row r="31" ht="16.5" customHeight="1" outlineLevel="5" spans="2:26">
      <c r="B31" s="470" t="s">
        <v>1579</v>
      </c>
      <c r="C31" s="473"/>
      <c r="D31" s="476" t="s">
        <v>1580</v>
      </c>
      <c r="E31" s="290"/>
      <c r="F31" s="290" t="s">
        <v>1537</v>
      </c>
      <c r="G31" s="478">
        <v>1.15</v>
      </c>
      <c r="H31" s="477" t="s">
        <v>1015</v>
      </c>
      <c r="I31" s="475">
        <v>3000</v>
      </c>
      <c r="J31" s="200">
        <v>14</v>
      </c>
      <c r="K31" s="497">
        <v>0.11</v>
      </c>
      <c r="L31" s="496">
        <v>4.83</v>
      </c>
      <c r="M31" s="496">
        <v>0.5313</v>
      </c>
      <c r="N31" s="498">
        <v>5.3613</v>
      </c>
      <c r="O31" s="499">
        <v>17.871</v>
      </c>
      <c r="P31" s="236"/>
      <c r="Z31" s="168"/>
    </row>
    <row r="32" ht="16.5" customHeight="1" outlineLevel="5" spans="2:26">
      <c r="B32" s="470" t="s">
        <v>1581</v>
      </c>
      <c r="C32" s="473"/>
      <c r="D32" s="476" t="s">
        <v>1582</v>
      </c>
      <c r="E32" s="290"/>
      <c r="F32" s="290" t="s">
        <v>1537</v>
      </c>
      <c r="G32" s="478">
        <v>0.05</v>
      </c>
      <c r="H32" s="477" t="s">
        <v>1015</v>
      </c>
      <c r="I32" s="475">
        <v>3000</v>
      </c>
      <c r="J32" s="200">
        <v>17</v>
      </c>
      <c r="K32" s="497">
        <v>0.11</v>
      </c>
      <c r="L32" s="496">
        <v>0.255</v>
      </c>
      <c r="M32" s="496">
        <v>0.02805</v>
      </c>
      <c r="N32" s="498">
        <v>0.28305</v>
      </c>
      <c r="O32" s="499">
        <v>0.9435</v>
      </c>
      <c r="P32" s="236"/>
      <c r="Z32" s="168"/>
    </row>
    <row r="33" ht="16.5" customHeight="1" outlineLevel="4" spans="2:26">
      <c r="B33" s="470" t="s">
        <v>1583</v>
      </c>
      <c r="C33" s="473" t="s">
        <v>622</v>
      </c>
      <c r="D33" s="470" t="s">
        <v>1584</v>
      </c>
      <c r="E33" s="479" t="s">
        <v>1357</v>
      </c>
      <c r="F33" s="479"/>
      <c r="G33" s="478"/>
      <c r="H33" s="477"/>
      <c r="I33" s="200"/>
      <c r="J33" s="200"/>
      <c r="K33" s="41"/>
      <c r="L33" s="498">
        <v>22.3087179487179</v>
      </c>
      <c r="M33" s="498">
        <v>3.79248205128205</v>
      </c>
      <c r="N33" s="498">
        <v>26.1012</v>
      </c>
      <c r="O33" s="499">
        <v>87.004</v>
      </c>
      <c r="P33" s="236"/>
      <c r="Z33" s="168"/>
    </row>
    <row r="34" ht="16.5" customHeight="1" outlineLevel="5" spans="2:26">
      <c r="B34" s="470" t="s">
        <v>1585</v>
      </c>
      <c r="C34" s="473"/>
      <c r="D34" s="476" t="s">
        <v>1586</v>
      </c>
      <c r="E34" s="290"/>
      <c r="F34" s="290" t="s">
        <v>1537</v>
      </c>
      <c r="G34" s="478">
        <v>1.3</v>
      </c>
      <c r="H34" s="477" t="s">
        <v>1015</v>
      </c>
      <c r="I34" s="475">
        <v>3000</v>
      </c>
      <c r="J34" s="200">
        <v>54</v>
      </c>
      <c r="K34" s="497">
        <v>0.17</v>
      </c>
      <c r="L34" s="496">
        <v>21.06</v>
      </c>
      <c r="M34" s="496">
        <v>3.5802</v>
      </c>
      <c r="N34" s="498">
        <v>24.6402</v>
      </c>
      <c r="O34" s="499">
        <v>82.134</v>
      </c>
      <c r="P34" s="236"/>
      <c r="Z34" s="168"/>
    </row>
    <row r="35" ht="16.5" customHeight="1" outlineLevel="5" spans="2:26">
      <c r="B35" s="470" t="s">
        <v>1587</v>
      </c>
      <c r="C35" s="473"/>
      <c r="D35" s="476" t="s">
        <v>1588</v>
      </c>
      <c r="E35" s="290"/>
      <c r="F35" s="290" t="s">
        <v>1537</v>
      </c>
      <c r="G35" s="478">
        <v>0.05</v>
      </c>
      <c r="H35" s="477" t="s">
        <v>1015</v>
      </c>
      <c r="I35" s="475">
        <v>3000</v>
      </c>
      <c r="J35" s="200">
        <v>20</v>
      </c>
      <c r="K35" s="497">
        <v>0.17</v>
      </c>
      <c r="L35" s="496">
        <v>0.3</v>
      </c>
      <c r="M35" s="496">
        <v>0.051</v>
      </c>
      <c r="N35" s="498">
        <v>0.351</v>
      </c>
      <c r="O35" s="499">
        <v>1.17</v>
      </c>
      <c r="P35" s="236"/>
      <c r="Z35" s="168"/>
    </row>
    <row r="36" ht="16.5" customHeight="1" outlineLevel="5" spans="2:26">
      <c r="B36" s="470" t="s">
        <v>1589</v>
      </c>
      <c r="C36" s="473"/>
      <c r="D36" s="476" t="s">
        <v>1946</v>
      </c>
      <c r="E36" s="290"/>
      <c r="F36" s="290" t="s">
        <v>1782</v>
      </c>
      <c r="G36" s="255">
        <v>150</v>
      </c>
      <c r="H36" s="477" t="s">
        <v>1947</v>
      </c>
      <c r="I36" s="475">
        <v>3</v>
      </c>
      <c r="J36" s="200">
        <v>6.83760683760684</v>
      </c>
      <c r="K36" s="497">
        <v>0.17</v>
      </c>
      <c r="L36" s="496">
        <v>0.307692307692308</v>
      </c>
      <c r="M36" s="496">
        <v>0.0523076923076923</v>
      </c>
      <c r="N36" s="498">
        <v>0.36</v>
      </c>
      <c r="O36" s="499">
        <v>1.2</v>
      </c>
      <c r="P36" s="236"/>
      <c r="Z36" s="168"/>
    </row>
    <row r="37" ht="16.5" customHeight="1" outlineLevel="5" spans="2:26">
      <c r="B37" s="470" t="s">
        <v>1591</v>
      </c>
      <c r="C37" s="473"/>
      <c r="D37" s="476" t="s">
        <v>1948</v>
      </c>
      <c r="E37" s="290"/>
      <c r="F37" s="290" t="s">
        <v>1782</v>
      </c>
      <c r="G37" s="255">
        <v>100</v>
      </c>
      <c r="H37" s="477" t="s">
        <v>1015</v>
      </c>
      <c r="I37" s="475">
        <v>3</v>
      </c>
      <c r="J37" s="475">
        <v>21.3675213675214</v>
      </c>
      <c r="K37" s="497">
        <v>0.17</v>
      </c>
      <c r="L37" s="496">
        <v>0.641025641025641</v>
      </c>
      <c r="M37" s="496">
        <v>0.108974358974359</v>
      </c>
      <c r="N37" s="498">
        <v>0.75</v>
      </c>
      <c r="O37" s="499">
        <v>2.5</v>
      </c>
      <c r="P37" s="236"/>
      <c r="Z37" s="168"/>
    </row>
    <row r="38" ht="16.5" customHeight="1" outlineLevel="5" spans="2:26">
      <c r="B38" s="470" t="s">
        <v>1593</v>
      </c>
      <c r="C38" s="473"/>
      <c r="D38" s="476" t="s">
        <v>1931</v>
      </c>
      <c r="E38" s="290"/>
      <c r="F38" s="290" t="s">
        <v>1537</v>
      </c>
      <c r="G38" s="255"/>
      <c r="H38" s="477" t="s">
        <v>1015</v>
      </c>
      <c r="I38" s="475">
        <v>3000</v>
      </c>
      <c r="J38" s="200">
        <v>6.8</v>
      </c>
      <c r="K38" s="497">
        <v>0.17</v>
      </c>
      <c r="L38" s="496">
        <v>0</v>
      </c>
      <c r="M38" s="496">
        <v>0</v>
      </c>
      <c r="N38" s="498">
        <v>0</v>
      </c>
      <c r="O38" s="499">
        <v>0</v>
      </c>
      <c r="P38" s="236"/>
      <c r="Z38" s="168"/>
    </row>
    <row r="39" ht="16.5" customHeight="1" outlineLevel="4" spans="2:26">
      <c r="B39" s="470" t="s">
        <v>1595</v>
      </c>
      <c r="C39" s="473" t="s">
        <v>622</v>
      </c>
      <c r="D39" s="470" t="s">
        <v>1596</v>
      </c>
      <c r="E39" s="479" t="s">
        <v>1358</v>
      </c>
      <c r="F39" s="479"/>
      <c r="G39" s="478"/>
      <c r="H39" s="477"/>
      <c r="I39" s="200"/>
      <c r="J39" s="200"/>
      <c r="K39" s="41"/>
      <c r="L39" s="498">
        <v>2.124</v>
      </c>
      <c r="M39" s="498">
        <v>0.23364</v>
      </c>
      <c r="N39" s="498">
        <v>2.35764</v>
      </c>
      <c r="O39" s="499">
        <v>7.8588</v>
      </c>
      <c r="P39" s="236"/>
      <c r="Z39" s="168"/>
    </row>
    <row r="40" ht="16.5" customHeight="1" outlineLevel="5" spans="2:26">
      <c r="B40" s="470" t="s">
        <v>1597</v>
      </c>
      <c r="C40" s="473"/>
      <c r="D40" s="476" t="s">
        <v>1949</v>
      </c>
      <c r="E40" s="290"/>
      <c r="F40" s="290" t="s">
        <v>1782</v>
      </c>
      <c r="G40" s="255">
        <v>150</v>
      </c>
      <c r="H40" s="477" t="s">
        <v>1015</v>
      </c>
      <c r="I40" s="475">
        <v>3</v>
      </c>
      <c r="J40" s="200">
        <v>16.2</v>
      </c>
      <c r="K40" s="497">
        <v>0.11</v>
      </c>
      <c r="L40" s="496">
        <v>0.729</v>
      </c>
      <c r="M40" s="496">
        <v>0.08019</v>
      </c>
      <c r="N40" s="498">
        <v>0.80919</v>
      </c>
      <c r="O40" s="499">
        <v>2.6973</v>
      </c>
      <c r="P40" s="236"/>
      <c r="Z40" s="168"/>
    </row>
    <row r="41" ht="16.5" customHeight="1" outlineLevel="5" spans="2:26">
      <c r="B41" s="470" t="s">
        <v>1599</v>
      </c>
      <c r="C41" s="473"/>
      <c r="D41" s="476" t="s">
        <v>1950</v>
      </c>
      <c r="E41" s="290"/>
      <c r="F41" s="290" t="s">
        <v>1782</v>
      </c>
      <c r="G41" s="255">
        <v>100</v>
      </c>
      <c r="H41" s="477" t="s">
        <v>1015</v>
      </c>
      <c r="I41" s="475">
        <v>3</v>
      </c>
      <c r="J41" s="200">
        <v>46.5</v>
      </c>
      <c r="K41" s="497">
        <v>0.11</v>
      </c>
      <c r="L41" s="496">
        <v>1.395</v>
      </c>
      <c r="M41" s="496">
        <v>0.15345</v>
      </c>
      <c r="N41" s="498">
        <v>1.54845</v>
      </c>
      <c r="O41" s="499">
        <v>5.1615</v>
      </c>
      <c r="P41" s="236"/>
      <c r="Z41" s="168"/>
    </row>
    <row r="42" ht="16.5" customHeight="1" outlineLevel="5" spans="2:26">
      <c r="B42" s="470" t="s">
        <v>1601</v>
      </c>
      <c r="C42" s="473"/>
      <c r="D42" s="476" t="s">
        <v>1934</v>
      </c>
      <c r="E42" s="290"/>
      <c r="F42" s="290" t="s">
        <v>1537</v>
      </c>
      <c r="G42" s="255">
        <v>0</v>
      </c>
      <c r="H42" s="477" t="s">
        <v>1015</v>
      </c>
      <c r="I42" s="475">
        <v>3000</v>
      </c>
      <c r="J42" s="200">
        <v>16.2</v>
      </c>
      <c r="K42" s="497">
        <v>0.11</v>
      </c>
      <c r="L42" s="496">
        <v>0</v>
      </c>
      <c r="M42" s="496">
        <v>0</v>
      </c>
      <c r="N42" s="498">
        <v>0</v>
      </c>
      <c r="O42" s="499">
        <v>0</v>
      </c>
      <c r="P42" s="236"/>
      <c r="Z42" s="168"/>
    </row>
    <row r="43" ht="16.5" customHeight="1" outlineLevel="4" spans="2:26">
      <c r="B43" s="470" t="s">
        <v>1603</v>
      </c>
      <c r="C43" s="473" t="s">
        <v>622</v>
      </c>
      <c r="D43" s="470" t="s">
        <v>1604</v>
      </c>
      <c r="E43" s="290" t="s">
        <v>774</v>
      </c>
      <c r="F43" s="290" t="s">
        <v>1537</v>
      </c>
      <c r="G43" s="478"/>
      <c r="H43" s="477"/>
      <c r="I43" s="475"/>
      <c r="J43" s="200"/>
      <c r="K43" s="497"/>
      <c r="L43" s="498">
        <v>46.95</v>
      </c>
      <c r="M43" s="498">
        <v>5.1645</v>
      </c>
      <c r="N43" s="498">
        <v>52.1145</v>
      </c>
      <c r="O43" s="499">
        <v>173.715</v>
      </c>
      <c r="P43" s="236"/>
      <c r="Z43" s="168"/>
    </row>
    <row r="44" ht="16.5" customHeight="1" outlineLevel="5" spans="2:26">
      <c r="B44" s="470" t="s">
        <v>1605</v>
      </c>
      <c r="C44" s="473"/>
      <c r="D44" s="476" t="s">
        <v>1935</v>
      </c>
      <c r="E44" s="290"/>
      <c r="F44" s="290" t="s">
        <v>1537</v>
      </c>
      <c r="G44" s="478">
        <v>1</v>
      </c>
      <c r="H44" s="477" t="s">
        <v>1015</v>
      </c>
      <c r="I44" s="475">
        <v>3000</v>
      </c>
      <c r="J44" s="200">
        <v>31.5</v>
      </c>
      <c r="K44" s="497">
        <v>0.11</v>
      </c>
      <c r="L44" s="496">
        <v>9.45</v>
      </c>
      <c r="M44" s="496">
        <v>1.0395</v>
      </c>
      <c r="N44" s="498">
        <v>10.4895</v>
      </c>
      <c r="O44" s="499">
        <v>34.965</v>
      </c>
      <c r="P44" s="236"/>
      <c r="Z44" s="168"/>
    </row>
    <row r="45" ht="16.5" customHeight="1" outlineLevel="5" spans="2:26">
      <c r="B45" s="470" t="s">
        <v>1607</v>
      </c>
      <c r="C45" s="473"/>
      <c r="D45" s="476" t="s">
        <v>1936</v>
      </c>
      <c r="E45" s="290"/>
      <c r="F45" s="290" t="s">
        <v>1537</v>
      </c>
      <c r="G45" s="478">
        <v>1</v>
      </c>
      <c r="H45" s="477" t="s">
        <v>1015</v>
      </c>
      <c r="I45" s="475">
        <v>3000</v>
      </c>
      <c r="J45" s="200"/>
      <c r="K45" s="497">
        <v>0.11</v>
      </c>
      <c r="L45" s="496">
        <v>0</v>
      </c>
      <c r="M45" s="496">
        <v>0</v>
      </c>
      <c r="N45" s="498">
        <v>0</v>
      </c>
      <c r="O45" s="499">
        <v>0</v>
      </c>
      <c r="P45" s="236"/>
      <c r="Z45" s="168"/>
    </row>
    <row r="46" ht="16.5" customHeight="1" outlineLevel="5" spans="2:26">
      <c r="B46" s="470" t="s">
        <v>1609</v>
      </c>
      <c r="C46" s="473"/>
      <c r="D46" s="476" t="s">
        <v>1937</v>
      </c>
      <c r="E46" s="290"/>
      <c r="F46" s="290" t="s">
        <v>1537</v>
      </c>
      <c r="G46" s="478">
        <v>1</v>
      </c>
      <c r="H46" s="477" t="s">
        <v>1015</v>
      </c>
      <c r="I46" s="475">
        <v>3000</v>
      </c>
      <c r="J46" s="200"/>
      <c r="K46" s="497">
        <v>0.11</v>
      </c>
      <c r="L46" s="496">
        <v>0</v>
      </c>
      <c r="M46" s="496">
        <v>0</v>
      </c>
      <c r="N46" s="498">
        <v>0</v>
      </c>
      <c r="O46" s="499">
        <v>0</v>
      </c>
      <c r="P46" s="236"/>
      <c r="Z46" s="168"/>
    </row>
    <row r="47" ht="16.5" customHeight="1" outlineLevel="5" spans="2:26">
      <c r="B47" s="470" t="s">
        <v>1611</v>
      </c>
      <c r="C47" s="473"/>
      <c r="D47" s="476" t="s">
        <v>1938</v>
      </c>
      <c r="E47" s="290"/>
      <c r="F47" s="290" t="s">
        <v>1537</v>
      </c>
      <c r="G47" s="478">
        <v>1</v>
      </c>
      <c r="H47" s="477" t="s">
        <v>1015</v>
      </c>
      <c r="I47" s="475">
        <v>3000</v>
      </c>
      <c r="J47" s="200"/>
      <c r="K47" s="497">
        <v>0.11</v>
      </c>
      <c r="L47" s="496">
        <v>0</v>
      </c>
      <c r="M47" s="496">
        <v>0</v>
      </c>
      <c r="N47" s="498">
        <v>0</v>
      </c>
      <c r="O47" s="499">
        <v>0</v>
      </c>
      <c r="P47" s="236"/>
      <c r="Z47" s="168"/>
    </row>
    <row r="48" ht="16.5" customHeight="1" outlineLevel="5" spans="2:26">
      <c r="B48" s="470" t="s">
        <v>1613</v>
      </c>
      <c r="C48" s="473"/>
      <c r="D48" s="476" t="s">
        <v>1614</v>
      </c>
      <c r="E48" s="290"/>
      <c r="F48" s="290" t="s">
        <v>1537</v>
      </c>
      <c r="G48" s="478">
        <v>1</v>
      </c>
      <c r="H48" s="477" t="s">
        <v>1015</v>
      </c>
      <c r="I48" s="475">
        <v>3000</v>
      </c>
      <c r="J48" s="200">
        <v>125</v>
      </c>
      <c r="K48" s="497">
        <v>0.11</v>
      </c>
      <c r="L48" s="496">
        <v>37.5</v>
      </c>
      <c r="M48" s="496">
        <v>4.125</v>
      </c>
      <c r="N48" s="498">
        <v>41.625</v>
      </c>
      <c r="O48" s="499">
        <v>138.75</v>
      </c>
      <c r="P48" s="236"/>
      <c r="Z48" s="168"/>
    </row>
    <row r="49" ht="16.5" customHeight="1" outlineLevel="4" spans="2:26">
      <c r="B49" s="470" t="s">
        <v>1615</v>
      </c>
      <c r="C49" s="473" t="s">
        <v>622</v>
      </c>
      <c r="D49" s="470" t="s">
        <v>1616</v>
      </c>
      <c r="E49" s="479" t="s">
        <v>774</v>
      </c>
      <c r="F49" s="479"/>
      <c r="G49" s="478"/>
      <c r="H49" s="477"/>
      <c r="I49" s="475"/>
      <c r="J49" s="200"/>
      <c r="K49" s="497"/>
      <c r="L49" s="498">
        <v>34.9902</v>
      </c>
      <c r="M49" s="498">
        <v>3.848922</v>
      </c>
      <c r="N49" s="498">
        <v>38.839122</v>
      </c>
      <c r="O49" s="499">
        <v>129.46374</v>
      </c>
      <c r="P49" s="236"/>
      <c r="Z49" s="168"/>
    </row>
    <row r="50" ht="16.5" customHeight="1" outlineLevel="5" spans="2:26">
      <c r="B50" s="470" t="s">
        <v>1617</v>
      </c>
      <c r="C50" s="473"/>
      <c r="D50" s="476" t="s">
        <v>1618</v>
      </c>
      <c r="E50" s="290"/>
      <c r="F50" s="290" t="s">
        <v>1537</v>
      </c>
      <c r="G50" s="478">
        <v>1.3</v>
      </c>
      <c r="H50" s="477" t="s">
        <v>1015</v>
      </c>
      <c r="I50" s="475">
        <v>3000</v>
      </c>
      <c r="J50" s="200">
        <v>58.56</v>
      </c>
      <c r="K50" s="497">
        <v>0.11</v>
      </c>
      <c r="L50" s="496">
        <v>22.8384</v>
      </c>
      <c r="M50" s="496">
        <v>2.512224</v>
      </c>
      <c r="N50" s="498">
        <v>25.350624</v>
      </c>
      <c r="O50" s="499">
        <v>84.50208</v>
      </c>
      <c r="P50" s="236"/>
      <c r="Z50" s="168"/>
    </row>
    <row r="51" ht="16.5" customHeight="1" outlineLevel="5" spans="2:26">
      <c r="B51" s="470" t="s">
        <v>1619</v>
      </c>
      <c r="C51" s="473"/>
      <c r="D51" s="476" t="s">
        <v>1624</v>
      </c>
      <c r="E51" s="479"/>
      <c r="F51" s="479" t="s">
        <v>862</v>
      </c>
      <c r="G51" s="478">
        <v>1</v>
      </c>
      <c r="H51" s="477" t="s">
        <v>1015</v>
      </c>
      <c r="I51" s="475">
        <v>1800</v>
      </c>
      <c r="J51" s="200">
        <v>13.51</v>
      </c>
      <c r="K51" s="497">
        <v>0.11</v>
      </c>
      <c r="L51" s="496">
        <v>2.4318</v>
      </c>
      <c r="M51" s="496">
        <v>0.267498</v>
      </c>
      <c r="N51" s="498">
        <v>2.699298</v>
      </c>
      <c r="O51" s="499">
        <v>8.99766</v>
      </c>
      <c r="P51" s="236"/>
      <c r="Z51" s="168"/>
    </row>
    <row r="52" ht="16.5" customHeight="1" outlineLevel="5" spans="2:26">
      <c r="B52" s="470" t="s">
        <v>1621</v>
      </c>
      <c r="C52" s="473"/>
      <c r="D52" s="476" t="s">
        <v>1951</v>
      </c>
      <c r="E52" s="479"/>
      <c r="F52" s="479" t="s">
        <v>862</v>
      </c>
      <c r="G52" s="478">
        <v>1</v>
      </c>
      <c r="H52" s="477" t="s">
        <v>1015</v>
      </c>
      <c r="I52" s="475">
        <v>1800</v>
      </c>
      <c r="J52" s="200">
        <v>54</v>
      </c>
      <c r="K52" s="497">
        <v>0.11</v>
      </c>
      <c r="L52" s="496">
        <v>9.72</v>
      </c>
      <c r="M52" s="496">
        <v>1.0692</v>
      </c>
      <c r="N52" s="498">
        <v>10.7892</v>
      </c>
      <c r="O52" s="499">
        <v>35.964</v>
      </c>
      <c r="P52" s="236"/>
      <c r="Z52" s="168"/>
    </row>
    <row r="53" ht="16.5" customHeight="1" outlineLevel="4" spans="2:26">
      <c r="B53" s="470" t="s">
        <v>1625</v>
      </c>
      <c r="C53" s="473" t="s">
        <v>622</v>
      </c>
      <c r="D53" s="470" t="s">
        <v>1626</v>
      </c>
      <c r="E53" s="479" t="s">
        <v>774</v>
      </c>
      <c r="F53" s="479"/>
      <c r="G53" s="478"/>
      <c r="H53" s="477"/>
      <c r="I53" s="200"/>
      <c r="J53" s="200"/>
      <c r="K53" s="41"/>
      <c r="L53" s="498">
        <v>6.4638</v>
      </c>
      <c r="M53" s="498">
        <v>1.098846</v>
      </c>
      <c r="N53" s="498">
        <v>7.562646</v>
      </c>
      <c r="O53" s="499">
        <v>25.20882</v>
      </c>
      <c r="P53" s="236"/>
      <c r="Z53" s="168"/>
    </row>
    <row r="54" ht="16.5" customHeight="1" outlineLevel="5" spans="2:26">
      <c r="B54" s="470" t="s">
        <v>1627</v>
      </c>
      <c r="C54" s="473"/>
      <c r="D54" s="476" t="s">
        <v>1628</v>
      </c>
      <c r="E54" s="290"/>
      <c r="F54" s="290" t="s">
        <v>1537</v>
      </c>
      <c r="G54" s="478"/>
      <c r="H54" s="477" t="s">
        <v>1015</v>
      </c>
      <c r="I54" s="475">
        <v>3000</v>
      </c>
      <c r="J54" s="200">
        <v>42.74</v>
      </c>
      <c r="K54" s="497">
        <v>0.17</v>
      </c>
      <c r="L54" s="496">
        <v>0</v>
      </c>
      <c r="M54" s="496">
        <v>0</v>
      </c>
      <c r="N54" s="498">
        <v>0</v>
      </c>
      <c r="O54" s="499">
        <v>0</v>
      </c>
      <c r="P54" s="236"/>
      <c r="Z54" s="168"/>
    </row>
    <row r="55" ht="16.5" customHeight="1" outlineLevel="5" spans="2:26">
      <c r="B55" s="470" t="s">
        <v>1629</v>
      </c>
      <c r="C55" s="473"/>
      <c r="D55" s="476" t="s">
        <v>1634</v>
      </c>
      <c r="E55" s="479"/>
      <c r="F55" s="479" t="s">
        <v>862</v>
      </c>
      <c r="G55" s="478">
        <v>1</v>
      </c>
      <c r="H55" s="477" t="s">
        <v>1015</v>
      </c>
      <c r="I55" s="475">
        <v>1800</v>
      </c>
      <c r="J55" s="200">
        <v>35.91</v>
      </c>
      <c r="K55" s="497">
        <v>0.17</v>
      </c>
      <c r="L55" s="496">
        <v>6.4638</v>
      </c>
      <c r="M55" s="496">
        <v>1.098846</v>
      </c>
      <c r="N55" s="498">
        <v>7.562646</v>
      </c>
      <c r="O55" s="499">
        <v>25.20882</v>
      </c>
      <c r="P55" s="236"/>
      <c r="Z55" s="168"/>
    </row>
    <row r="56" ht="16.5" customHeight="1" outlineLevel="4" spans="2:26">
      <c r="B56" s="470" t="s">
        <v>1635</v>
      </c>
      <c r="C56" s="473" t="s">
        <v>622</v>
      </c>
      <c r="D56" s="470" t="s">
        <v>1636</v>
      </c>
      <c r="E56" s="479" t="s">
        <v>774</v>
      </c>
      <c r="F56" s="479" t="s">
        <v>601</v>
      </c>
      <c r="G56" s="478"/>
      <c r="H56" s="477" t="s">
        <v>1637</v>
      </c>
      <c r="I56" s="200">
        <v>40</v>
      </c>
      <c r="J56" s="200"/>
      <c r="K56" s="41">
        <v>0.11</v>
      </c>
      <c r="L56" s="496">
        <v>0</v>
      </c>
      <c r="M56" s="496">
        <v>0</v>
      </c>
      <c r="N56" s="498">
        <v>0</v>
      </c>
      <c r="O56" s="499">
        <v>0</v>
      </c>
      <c r="P56" s="236"/>
      <c r="Z56" s="168"/>
    </row>
    <row r="57" ht="16.5" customHeight="1" outlineLevel="4" spans="2:26">
      <c r="B57" s="470" t="s">
        <v>1638</v>
      </c>
      <c r="C57" s="473" t="s">
        <v>622</v>
      </c>
      <c r="D57" s="470" t="s">
        <v>1639</v>
      </c>
      <c r="E57" s="290" t="s">
        <v>774</v>
      </c>
      <c r="F57" s="290" t="s">
        <v>1537</v>
      </c>
      <c r="G57" s="478">
        <v>1</v>
      </c>
      <c r="H57" s="477" t="s">
        <v>655</v>
      </c>
      <c r="I57" s="475">
        <v>3000</v>
      </c>
      <c r="J57" s="200">
        <v>18</v>
      </c>
      <c r="K57" s="497">
        <v>0.11</v>
      </c>
      <c r="L57" s="496">
        <v>5.4</v>
      </c>
      <c r="M57" s="496">
        <v>0.594</v>
      </c>
      <c r="N57" s="498">
        <v>5.994</v>
      </c>
      <c r="O57" s="499">
        <v>19.98</v>
      </c>
      <c r="P57" s="236"/>
      <c r="Z57" s="168"/>
    </row>
    <row r="58" ht="16.5" customHeight="1" outlineLevel="4" spans="2:26">
      <c r="B58" s="470" t="s">
        <v>1640</v>
      </c>
      <c r="C58" s="473" t="s">
        <v>622</v>
      </c>
      <c r="D58" s="470" t="s">
        <v>1641</v>
      </c>
      <c r="E58" s="479" t="s">
        <v>774</v>
      </c>
      <c r="F58" s="479"/>
      <c r="G58" s="478"/>
      <c r="H58" s="477"/>
      <c r="I58" s="200"/>
      <c r="J58" s="200"/>
      <c r="K58" s="41">
        <v>0.11</v>
      </c>
      <c r="L58" s="496">
        <v>0</v>
      </c>
      <c r="M58" s="496">
        <v>0</v>
      </c>
      <c r="N58" s="498">
        <v>0</v>
      </c>
      <c r="O58" s="499">
        <v>0</v>
      </c>
      <c r="P58" s="236"/>
      <c r="Z58" s="168"/>
    </row>
    <row r="59" ht="16.5" customHeight="1" outlineLevel="4" spans="2:26">
      <c r="B59" s="470" t="s">
        <v>1642</v>
      </c>
      <c r="C59" s="473" t="s">
        <v>622</v>
      </c>
      <c r="D59" s="470" t="s">
        <v>1643</v>
      </c>
      <c r="E59" s="479" t="s">
        <v>774</v>
      </c>
      <c r="F59" s="479"/>
      <c r="G59" s="478"/>
      <c r="H59" s="477"/>
      <c r="I59" s="200"/>
      <c r="J59" s="200"/>
      <c r="K59" s="41"/>
      <c r="L59" s="498">
        <v>0</v>
      </c>
      <c r="M59" s="498">
        <v>0</v>
      </c>
      <c r="N59" s="498">
        <v>0</v>
      </c>
      <c r="O59" s="499">
        <v>0</v>
      </c>
      <c r="P59" s="236"/>
      <c r="Z59" s="168"/>
    </row>
    <row r="60" ht="16.5" customHeight="1" outlineLevel="5" spans="2:26">
      <c r="B60" s="470" t="s">
        <v>1644</v>
      </c>
      <c r="C60" s="473"/>
      <c r="D60" s="476" t="s">
        <v>1645</v>
      </c>
      <c r="E60" s="479"/>
      <c r="F60" s="479" t="s">
        <v>505</v>
      </c>
      <c r="G60" s="478">
        <v>1</v>
      </c>
      <c r="H60" s="477" t="s">
        <v>655</v>
      </c>
      <c r="I60" s="475">
        <v>3000</v>
      </c>
      <c r="J60" s="200"/>
      <c r="K60" s="497">
        <v>0.11</v>
      </c>
      <c r="L60" s="496">
        <v>0</v>
      </c>
      <c r="M60" s="496">
        <v>0</v>
      </c>
      <c r="N60" s="498">
        <v>0</v>
      </c>
      <c r="O60" s="499">
        <v>0</v>
      </c>
      <c r="P60" s="236"/>
      <c r="Z60" s="168"/>
    </row>
    <row r="61" ht="16.5" customHeight="1" outlineLevel="5" spans="2:26">
      <c r="B61" s="470" t="s">
        <v>1646</v>
      </c>
      <c r="C61" s="473"/>
      <c r="D61" s="476" t="s">
        <v>1647</v>
      </c>
      <c r="E61" s="290"/>
      <c r="F61" s="290" t="s">
        <v>1537</v>
      </c>
      <c r="G61" s="478">
        <v>1</v>
      </c>
      <c r="H61" s="477" t="s">
        <v>655</v>
      </c>
      <c r="I61" s="475">
        <v>3000</v>
      </c>
      <c r="J61" s="200"/>
      <c r="K61" s="497">
        <v>0.11</v>
      </c>
      <c r="L61" s="496">
        <v>0</v>
      </c>
      <c r="M61" s="496">
        <v>0</v>
      </c>
      <c r="N61" s="498">
        <v>0</v>
      </c>
      <c r="O61" s="499">
        <v>0</v>
      </c>
      <c r="P61" s="236"/>
      <c r="Z61" s="168"/>
    </row>
    <row r="62" ht="16.5" customHeight="1" outlineLevel="5" spans="2:26">
      <c r="B62" s="470" t="s">
        <v>1648</v>
      </c>
      <c r="C62" s="473"/>
      <c r="D62" s="476" t="s">
        <v>1649</v>
      </c>
      <c r="E62" s="290"/>
      <c r="F62" s="290" t="s">
        <v>1537</v>
      </c>
      <c r="G62" s="478">
        <v>1</v>
      </c>
      <c r="H62" s="477" t="s">
        <v>655</v>
      </c>
      <c r="I62" s="475">
        <v>3000</v>
      </c>
      <c r="J62" s="200"/>
      <c r="K62" s="497">
        <v>0.11</v>
      </c>
      <c r="L62" s="496">
        <v>0</v>
      </c>
      <c r="M62" s="496">
        <v>0</v>
      </c>
      <c r="N62" s="498">
        <v>0</v>
      </c>
      <c r="O62" s="499">
        <v>0</v>
      </c>
      <c r="P62" s="236"/>
      <c r="Z62" s="168"/>
    </row>
    <row r="63" ht="16.5" customHeight="1" outlineLevel="2" spans="2:26">
      <c r="B63" s="121" t="s">
        <v>537</v>
      </c>
      <c r="C63" s="193">
        <v>2</v>
      </c>
      <c r="D63" s="121" t="s">
        <v>538</v>
      </c>
      <c r="E63" s="193"/>
      <c r="F63" s="193"/>
      <c r="G63" s="193"/>
      <c r="H63" s="155"/>
      <c r="I63" s="492"/>
      <c r="J63" s="155"/>
      <c r="K63" s="493"/>
      <c r="L63" s="494">
        <v>97.863</v>
      </c>
      <c r="M63" s="494">
        <v>12.35421</v>
      </c>
      <c r="N63" s="494">
        <v>110.21721</v>
      </c>
      <c r="O63" s="495">
        <v>367.3907</v>
      </c>
      <c r="P63" s="233"/>
      <c r="Z63" s="168"/>
    </row>
    <row r="64" ht="16.5" customHeight="1" outlineLevel="3" spans="2:26">
      <c r="B64" s="470" t="s">
        <v>1650</v>
      </c>
      <c r="C64" s="471" t="s">
        <v>619</v>
      </c>
      <c r="D64" s="470" t="s">
        <v>1651</v>
      </c>
      <c r="E64" s="479"/>
      <c r="F64" s="479"/>
      <c r="G64" s="198"/>
      <c r="H64" s="108"/>
      <c r="I64" s="200"/>
      <c r="J64" s="200"/>
      <c r="K64" s="41"/>
      <c r="L64" s="498">
        <v>59.763</v>
      </c>
      <c r="M64" s="498">
        <v>7.85721</v>
      </c>
      <c r="N64" s="498">
        <v>67.62021</v>
      </c>
      <c r="O64" s="499">
        <v>225.4007</v>
      </c>
      <c r="P64" s="236"/>
      <c r="Z64" s="168"/>
    </row>
    <row r="65" ht="16.5" customHeight="1" outlineLevel="4" spans="2:26">
      <c r="B65" s="470" t="s">
        <v>1652</v>
      </c>
      <c r="C65" s="473" t="s">
        <v>622</v>
      </c>
      <c r="D65" s="470" t="s">
        <v>1653</v>
      </c>
      <c r="E65" s="290" t="s">
        <v>774</v>
      </c>
      <c r="F65" s="290" t="s">
        <v>1537</v>
      </c>
      <c r="G65" s="200">
        <v>1</v>
      </c>
      <c r="H65" s="108" t="s">
        <v>655</v>
      </c>
      <c r="I65" s="475">
        <v>3000</v>
      </c>
      <c r="J65" s="560">
        <v>35</v>
      </c>
      <c r="K65" s="497">
        <v>0.11</v>
      </c>
      <c r="L65" s="496">
        <v>10.5</v>
      </c>
      <c r="M65" s="496">
        <v>1.155</v>
      </c>
      <c r="N65" s="498">
        <v>11.655</v>
      </c>
      <c r="O65" s="499">
        <v>38.85</v>
      </c>
      <c r="P65" s="236"/>
      <c r="Z65" s="168"/>
    </row>
    <row r="66" ht="16.5" customHeight="1" outlineLevel="4" spans="2:26">
      <c r="B66" s="470" t="s">
        <v>1654</v>
      </c>
      <c r="C66" s="473" t="s">
        <v>622</v>
      </c>
      <c r="D66" s="470" t="s">
        <v>1655</v>
      </c>
      <c r="E66" s="479" t="s">
        <v>880</v>
      </c>
      <c r="F66" s="479" t="s">
        <v>601</v>
      </c>
      <c r="G66" s="200">
        <v>1</v>
      </c>
      <c r="H66" s="108" t="s">
        <v>1668</v>
      </c>
      <c r="I66" s="200">
        <v>40</v>
      </c>
      <c r="J66" s="200">
        <v>590</v>
      </c>
      <c r="K66" s="41">
        <v>0.11</v>
      </c>
      <c r="L66" s="496">
        <v>2.36</v>
      </c>
      <c r="M66" s="496">
        <v>0.2596</v>
      </c>
      <c r="N66" s="498">
        <v>2.6196</v>
      </c>
      <c r="O66" s="499">
        <v>8.732</v>
      </c>
      <c r="P66" s="236"/>
      <c r="Z66" s="168"/>
    </row>
    <row r="67" ht="16.5" customHeight="1" outlineLevel="4" spans="2:26">
      <c r="B67" s="470" t="s">
        <v>1656</v>
      </c>
      <c r="C67" s="473" t="s">
        <v>622</v>
      </c>
      <c r="D67" s="470" t="s">
        <v>1657</v>
      </c>
      <c r="E67" s="479" t="s">
        <v>891</v>
      </c>
      <c r="F67" s="479" t="s">
        <v>601</v>
      </c>
      <c r="G67" s="200">
        <v>1</v>
      </c>
      <c r="H67" s="108" t="s">
        <v>655</v>
      </c>
      <c r="I67" s="200">
        <v>3000</v>
      </c>
      <c r="J67" s="200">
        <v>3</v>
      </c>
      <c r="K67" s="41">
        <v>0.17</v>
      </c>
      <c r="L67" s="496">
        <v>0.9</v>
      </c>
      <c r="M67" s="496">
        <v>0.153</v>
      </c>
      <c r="N67" s="498">
        <v>1.053</v>
      </c>
      <c r="O67" s="499">
        <v>3.51</v>
      </c>
      <c r="P67" s="236"/>
      <c r="Z67" s="168"/>
    </row>
    <row r="68" ht="16.5" customHeight="1" outlineLevel="4" spans="2:26">
      <c r="B68" s="470" t="s">
        <v>1658</v>
      </c>
      <c r="C68" s="473" t="s">
        <v>622</v>
      </c>
      <c r="D68" s="470" t="s">
        <v>1659</v>
      </c>
      <c r="E68" s="479" t="s">
        <v>891</v>
      </c>
      <c r="F68" s="479" t="s">
        <v>601</v>
      </c>
      <c r="G68" s="200">
        <v>1</v>
      </c>
      <c r="H68" s="108" t="s">
        <v>655</v>
      </c>
      <c r="I68" s="200">
        <v>3000</v>
      </c>
      <c r="J68" s="200">
        <v>5.56</v>
      </c>
      <c r="K68" s="41">
        <v>0.17</v>
      </c>
      <c r="L68" s="496">
        <v>1.668</v>
      </c>
      <c r="M68" s="496">
        <v>0.28356</v>
      </c>
      <c r="N68" s="498">
        <v>1.95156</v>
      </c>
      <c r="O68" s="499">
        <v>6.5052</v>
      </c>
      <c r="P68" s="236"/>
      <c r="Z68" s="168"/>
    </row>
    <row r="69" ht="16.5" customHeight="1" outlineLevel="4" spans="2:26">
      <c r="B69" s="470" t="s">
        <v>1660</v>
      </c>
      <c r="C69" s="473" t="s">
        <v>622</v>
      </c>
      <c r="D69" s="470" t="s">
        <v>1661</v>
      </c>
      <c r="E69" s="479" t="s">
        <v>774</v>
      </c>
      <c r="F69" s="479" t="s">
        <v>505</v>
      </c>
      <c r="G69" s="200">
        <v>1</v>
      </c>
      <c r="H69" s="108" t="s">
        <v>655</v>
      </c>
      <c r="I69" s="200">
        <v>3000</v>
      </c>
      <c r="J69" s="475">
        <v>4.05</v>
      </c>
      <c r="K69" s="41">
        <v>0.11</v>
      </c>
      <c r="L69" s="496">
        <v>1.215</v>
      </c>
      <c r="M69" s="496">
        <v>0.13365</v>
      </c>
      <c r="N69" s="498">
        <v>1.34865</v>
      </c>
      <c r="O69" s="499">
        <v>4.4955</v>
      </c>
      <c r="P69" s="236"/>
      <c r="Z69" s="168"/>
    </row>
    <row r="70" ht="16.5" customHeight="1" outlineLevel="4" spans="2:26">
      <c r="B70" s="470" t="s">
        <v>1662</v>
      </c>
      <c r="C70" s="473" t="s">
        <v>622</v>
      </c>
      <c r="D70" s="470" t="s">
        <v>1663</v>
      </c>
      <c r="E70" s="479"/>
      <c r="F70" s="479"/>
      <c r="G70" s="200">
        <v>1</v>
      </c>
      <c r="H70" s="108" t="s">
        <v>655</v>
      </c>
      <c r="I70" s="200"/>
      <c r="J70" s="200"/>
      <c r="K70" s="41">
        <v>0.11</v>
      </c>
      <c r="L70" s="496">
        <v>0</v>
      </c>
      <c r="M70" s="496">
        <v>0</v>
      </c>
      <c r="N70" s="498">
        <v>0</v>
      </c>
      <c r="O70" s="499">
        <v>0</v>
      </c>
      <c r="P70" s="236"/>
      <c r="Z70" s="168"/>
    </row>
    <row r="71" ht="16.5" customHeight="1" outlineLevel="4" spans="2:26">
      <c r="B71" s="470" t="s">
        <v>1664</v>
      </c>
      <c r="C71" s="473" t="s">
        <v>622</v>
      </c>
      <c r="D71" s="470" t="s">
        <v>1665</v>
      </c>
      <c r="E71" s="479" t="s">
        <v>774</v>
      </c>
      <c r="F71" s="479"/>
      <c r="G71" s="200">
        <v>1</v>
      </c>
      <c r="H71" s="108" t="s">
        <v>655</v>
      </c>
      <c r="I71" s="200"/>
      <c r="J71" s="200"/>
      <c r="K71" s="41">
        <v>0.11</v>
      </c>
      <c r="L71" s="496">
        <v>0</v>
      </c>
      <c r="M71" s="496">
        <v>0</v>
      </c>
      <c r="N71" s="498">
        <v>0</v>
      </c>
      <c r="O71" s="499">
        <v>0</v>
      </c>
      <c r="P71" s="236"/>
      <c r="Z71" s="168"/>
    </row>
    <row r="72" ht="16.5" customHeight="1" outlineLevel="4" spans="2:26">
      <c r="B72" s="470" t="s">
        <v>1666</v>
      </c>
      <c r="C72" s="473" t="s">
        <v>622</v>
      </c>
      <c r="D72" s="470" t="s">
        <v>1667</v>
      </c>
      <c r="E72" s="479" t="s">
        <v>913</v>
      </c>
      <c r="F72" s="479" t="s">
        <v>601</v>
      </c>
      <c r="G72" s="200">
        <v>1</v>
      </c>
      <c r="H72" s="108" t="s">
        <v>1668</v>
      </c>
      <c r="I72" s="200">
        <v>40</v>
      </c>
      <c r="J72" s="200"/>
      <c r="K72" s="41">
        <v>0.11</v>
      </c>
      <c r="L72" s="496">
        <v>0</v>
      </c>
      <c r="M72" s="496">
        <v>0</v>
      </c>
      <c r="N72" s="498">
        <v>0</v>
      </c>
      <c r="O72" s="499">
        <v>0</v>
      </c>
      <c r="P72" s="236"/>
      <c r="Z72" s="168"/>
    </row>
    <row r="73" ht="16.5" customHeight="1" outlineLevel="4" spans="2:26">
      <c r="B73" s="470" t="s">
        <v>1669</v>
      </c>
      <c r="C73" s="473" t="s">
        <v>622</v>
      </c>
      <c r="D73" s="470" t="s">
        <v>1670</v>
      </c>
      <c r="E73" s="290" t="s">
        <v>774</v>
      </c>
      <c r="F73" s="290" t="s">
        <v>1537</v>
      </c>
      <c r="G73" s="200">
        <v>1</v>
      </c>
      <c r="H73" s="108" t="s">
        <v>655</v>
      </c>
      <c r="I73" s="475">
        <v>3000</v>
      </c>
      <c r="J73" s="560">
        <v>81</v>
      </c>
      <c r="K73" s="497">
        <v>0.11</v>
      </c>
      <c r="L73" s="496">
        <v>24.3</v>
      </c>
      <c r="M73" s="496">
        <v>2.673</v>
      </c>
      <c r="N73" s="498">
        <v>26.973</v>
      </c>
      <c r="O73" s="499">
        <v>89.91</v>
      </c>
      <c r="P73" s="236"/>
      <c r="Z73" s="168"/>
    </row>
    <row r="74" ht="16.5" customHeight="1" outlineLevel="4" spans="2:26">
      <c r="B74" s="470" t="s">
        <v>1671</v>
      </c>
      <c r="C74" s="473" t="s">
        <v>622</v>
      </c>
      <c r="D74" s="470" t="s">
        <v>1672</v>
      </c>
      <c r="E74" s="479" t="s">
        <v>891</v>
      </c>
      <c r="F74" s="290" t="s">
        <v>1537</v>
      </c>
      <c r="G74" s="200">
        <v>1</v>
      </c>
      <c r="H74" s="108" t="s">
        <v>655</v>
      </c>
      <c r="I74" s="200">
        <v>3000</v>
      </c>
      <c r="J74" s="514">
        <v>8.55</v>
      </c>
      <c r="K74" s="41">
        <v>0.17</v>
      </c>
      <c r="L74" s="496">
        <v>2.565</v>
      </c>
      <c r="M74" s="496">
        <v>0.43605</v>
      </c>
      <c r="N74" s="498">
        <v>3.00105</v>
      </c>
      <c r="O74" s="499">
        <v>10.0035</v>
      </c>
      <c r="P74" s="236"/>
      <c r="Z74" s="168"/>
    </row>
    <row r="75" ht="16.5" customHeight="1" outlineLevel="4" spans="2:26">
      <c r="B75" s="470" t="s">
        <v>1673</v>
      </c>
      <c r="C75" s="473" t="s">
        <v>622</v>
      </c>
      <c r="D75" s="470" t="s">
        <v>1674</v>
      </c>
      <c r="E75" s="479" t="s">
        <v>943</v>
      </c>
      <c r="F75" s="290" t="s">
        <v>1537</v>
      </c>
      <c r="G75" s="200">
        <v>1</v>
      </c>
      <c r="H75" s="108" t="s">
        <v>655</v>
      </c>
      <c r="I75" s="200">
        <v>3000</v>
      </c>
      <c r="J75" s="200">
        <v>16.24</v>
      </c>
      <c r="K75" s="41">
        <v>0.17</v>
      </c>
      <c r="L75" s="496">
        <v>4.872</v>
      </c>
      <c r="M75" s="496">
        <v>0.82824</v>
      </c>
      <c r="N75" s="498">
        <v>5.70024</v>
      </c>
      <c r="O75" s="499">
        <v>19.0008</v>
      </c>
      <c r="P75" s="236"/>
      <c r="Z75" s="168"/>
    </row>
    <row r="76" ht="16.5" customHeight="1" outlineLevel="4" spans="2:26">
      <c r="B76" s="470" t="s">
        <v>1675</v>
      </c>
      <c r="C76" s="473" t="s">
        <v>622</v>
      </c>
      <c r="D76" s="470" t="s">
        <v>1676</v>
      </c>
      <c r="E76" s="479" t="s">
        <v>943</v>
      </c>
      <c r="F76" s="290" t="s">
        <v>1537</v>
      </c>
      <c r="G76" s="200">
        <v>1</v>
      </c>
      <c r="H76" s="108" t="s">
        <v>655</v>
      </c>
      <c r="I76" s="200">
        <v>3000</v>
      </c>
      <c r="J76" s="200">
        <v>14.53</v>
      </c>
      <c r="K76" s="41">
        <v>0.17</v>
      </c>
      <c r="L76" s="496">
        <v>4.359</v>
      </c>
      <c r="M76" s="496">
        <v>0.74103</v>
      </c>
      <c r="N76" s="498">
        <v>5.10003</v>
      </c>
      <c r="O76" s="499">
        <v>17.0001</v>
      </c>
      <c r="P76" s="236"/>
      <c r="Z76" s="168"/>
    </row>
    <row r="77" ht="16.5" customHeight="1" outlineLevel="4" spans="2:26">
      <c r="B77" s="470" t="s">
        <v>1677</v>
      </c>
      <c r="C77" s="473" t="s">
        <v>622</v>
      </c>
      <c r="D77" s="470" t="s">
        <v>1678</v>
      </c>
      <c r="E77" s="479" t="s">
        <v>1359</v>
      </c>
      <c r="F77" s="479" t="s">
        <v>601</v>
      </c>
      <c r="G77" s="200">
        <v>1</v>
      </c>
      <c r="H77" s="108" t="s">
        <v>1681</v>
      </c>
      <c r="I77" s="200">
        <v>40</v>
      </c>
      <c r="J77" s="200">
        <v>6</v>
      </c>
      <c r="K77" s="41">
        <v>0.17</v>
      </c>
      <c r="L77" s="496">
        <v>0.024</v>
      </c>
      <c r="M77" s="496">
        <v>0.00408</v>
      </c>
      <c r="N77" s="498">
        <v>0.02808</v>
      </c>
      <c r="O77" s="499">
        <v>0.0936</v>
      </c>
      <c r="P77" s="236"/>
      <c r="Z77" s="168"/>
    </row>
    <row r="78" ht="16.5" customHeight="1" outlineLevel="4" spans="2:26">
      <c r="B78" s="470" t="s">
        <v>1679</v>
      </c>
      <c r="C78" s="473" t="s">
        <v>622</v>
      </c>
      <c r="D78" s="470" t="s">
        <v>1680</v>
      </c>
      <c r="E78" s="479" t="s">
        <v>1359</v>
      </c>
      <c r="F78" s="290" t="s">
        <v>1537</v>
      </c>
      <c r="G78" s="200">
        <v>1</v>
      </c>
      <c r="H78" s="108" t="s">
        <v>1681</v>
      </c>
      <c r="I78" s="475">
        <v>40</v>
      </c>
      <c r="J78" s="200">
        <v>130</v>
      </c>
      <c r="K78" s="497">
        <v>0.17</v>
      </c>
      <c r="L78" s="496">
        <v>0.52</v>
      </c>
      <c r="M78" s="496">
        <v>0.0884</v>
      </c>
      <c r="N78" s="498">
        <v>0.6084</v>
      </c>
      <c r="O78" s="499">
        <v>2.028</v>
      </c>
      <c r="P78" s="236"/>
      <c r="Z78" s="168"/>
    </row>
    <row r="79" ht="16.5" customHeight="1" outlineLevel="4" spans="2:26">
      <c r="B79" s="470" t="s">
        <v>1682</v>
      </c>
      <c r="C79" s="473" t="s">
        <v>622</v>
      </c>
      <c r="D79" s="470" t="s">
        <v>1683</v>
      </c>
      <c r="E79" s="504" t="s">
        <v>928</v>
      </c>
      <c r="F79" s="479" t="s">
        <v>601</v>
      </c>
      <c r="G79" s="200">
        <v>1</v>
      </c>
      <c r="H79" s="108" t="s">
        <v>1681</v>
      </c>
      <c r="I79" s="200">
        <v>40</v>
      </c>
      <c r="J79" s="200">
        <v>600</v>
      </c>
      <c r="K79" s="41">
        <v>0.17</v>
      </c>
      <c r="L79" s="496">
        <v>2.4</v>
      </c>
      <c r="M79" s="496">
        <v>0.408</v>
      </c>
      <c r="N79" s="498">
        <v>2.808</v>
      </c>
      <c r="O79" s="499">
        <v>9.36</v>
      </c>
      <c r="P79" s="236"/>
      <c r="Z79" s="168"/>
    </row>
    <row r="80" ht="16.5" customHeight="1" outlineLevel="4" spans="2:26">
      <c r="B80" s="470" t="s">
        <v>1684</v>
      </c>
      <c r="C80" s="473" t="s">
        <v>622</v>
      </c>
      <c r="D80" s="470" t="s">
        <v>1685</v>
      </c>
      <c r="E80" s="479" t="s">
        <v>774</v>
      </c>
      <c r="F80" s="479" t="s">
        <v>601</v>
      </c>
      <c r="G80" s="200">
        <v>15</v>
      </c>
      <c r="H80" s="108" t="s">
        <v>1681</v>
      </c>
      <c r="I80" s="200">
        <v>40</v>
      </c>
      <c r="J80" s="200">
        <v>68</v>
      </c>
      <c r="K80" s="41">
        <v>0.17</v>
      </c>
      <c r="L80" s="496">
        <v>4.08</v>
      </c>
      <c r="M80" s="496">
        <v>0.6936</v>
      </c>
      <c r="N80" s="498">
        <v>4.7736</v>
      </c>
      <c r="O80" s="499">
        <v>15.912</v>
      </c>
      <c r="P80" s="236"/>
      <c r="Z80" s="168"/>
    </row>
    <row r="81" ht="16.5" customHeight="1" outlineLevel="3" spans="2:26">
      <c r="B81" s="470" t="s">
        <v>1686</v>
      </c>
      <c r="C81" s="471" t="s">
        <v>657</v>
      </c>
      <c r="D81" s="470" t="s">
        <v>1687</v>
      </c>
      <c r="E81" s="479"/>
      <c r="F81" s="479"/>
      <c r="G81" s="198"/>
      <c r="H81" s="108"/>
      <c r="I81" s="200"/>
      <c r="J81" s="200"/>
      <c r="K81" s="41"/>
      <c r="L81" s="515">
        <v>38.1</v>
      </c>
      <c r="M81" s="515">
        <v>4.497</v>
      </c>
      <c r="N81" s="515">
        <v>42.597</v>
      </c>
      <c r="O81" s="499">
        <v>141.99</v>
      </c>
      <c r="P81" s="236"/>
      <c r="Z81" s="168"/>
    </row>
    <row r="82" ht="16.5" customHeight="1" outlineLevel="4" spans="2:26">
      <c r="B82" s="470" t="s">
        <v>1688</v>
      </c>
      <c r="C82" s="473" t="s">
        <v>622</v>
      </c>
      <c r="D82" s="470" t="s">
        <v>1689</v>
      </c>
      <c r="E82" s="479" t="s">
        <v>1360</v>
      </c>
      <c r="F82" s="479" t="s">
        <v>602</v>
      </c>
      <c r="G82" s="200">
        <v>0</v>
      </c>
      <c r="H82" s="108" t="s">
        <v>1690</v>
      </c>
      <c r="I82" s="200">
        <v>2</v>
      </c>
      <c r="J82" s="516"/>
      <c r="K82" s="41">
        <v>0.17</v>
      </c>
      <c r="L82" s="496">
        <v>0</v>
      </c>
      <c r="M82" s="496">
        <v>0</v>
      </c>
      <c r="N82" s="498">
        <v>0</v>
      </c>
      <c r="O82" s="499">
        <v>0</v>
      </c>
      <c r="P82" s="236"/>
      <c r="Z82" s="168"/>
    </row>
    <row r="83" ht="16.5" customHeight="1" outlineLevel="4" spans="2:26">
      <c r="B83" s="470" t="s">
        <v>1691</v>
      </c>
      <c r="C83" s="473" t="s">
        <v>622</v>
      </c>
      <c r="D83" s="470" t="s">
        <v>1692</v>
      </c>
      <c r="E83" s="479" t="s">
        <v>1361</v>
      </c>
      <c r="F83" s="479" t="s">
        <v>602</v>
      </c>
      <c r="G83" s="200">
        <v>0</v>
      </c>
      <c r="H83" s="108" t="s">
        <v>1690</v>
      </c>
      <c r="I83" s="200">
        <v>2</v>
      </c>
      <c r="J83" s="516"/>
      <c r="K83" s="41">
        <v>0.11</v>
      </c>
      <c r="L83" s="496">
        <v>0</v>
      </c>
      <c r="M83" s="496">
        <v>0</v>
      </c>
      <c r="N83" s="498">
        <v>0</v>
      </c>
      <c r="O83" s="499">
        <v>0</v>
      </c>
      <c r="P83" s="236"/>
      <c r="Z83" s="168"/>
    </row>
    <row r="84" ht="16.5" customHeight="1" outlineLevel="4" spans="2:26">
      <c r="B84" s="470" t="s">
        <v>1693</v>
      </c>
      <c r="C84" s="473" t="s">
        <v>622</v>
      </c>
      <c r="D84" s="470" t="s">
        <v>1694</v>
      </c>
      <c r="E84" s="290" t="s">
        <v>931</v>
      </c>
      <c r="F84" s="290" t="s">
        <v>1537</v>
      </c>
      <c r="G84" s="200">
        <v>1</v>
      </c>
      <c r="H84" s="108" t="s">
        <v>655</v>
      </c>
      <c r="I84" s="475">
        <v>3000</v>
      </c>
      <c r="J84" s="560">
        <v>110</v>
      </c>
      <c r="K84" s="497">
        <v>0.11</v>
      </c>
      <c r="L84" s="496">
        <v>33</v>
      </c>
      <c r="M84" s="496">
        <v>3.63</v>
      </c>
      <c r="N84" s="498">
        <v>36.63</v>
      </c>
      <c r="O84" s="499">
        <v>122.1</v>
      </c>
      <c r="P84" s="236"/>
      <c r="Z84" s="168"/>
    </row>
    <row r="85" ht="16.5" customHeight="1" outlineLevel="4" spans="2:26">
      <c r="B85" s="470" t="s">
        <v>1695</v>
      </c>
      <c r="C85" s="473" t="s">
        <v>622</v>
      </c>
      <c r="D85" s="470" t="s">
        <v>1696</v>
      </c>
      <c r="E85" s="290" t="s">
        <v>943</v>
      </c>
      <c r="F85" s="290" t="s">
        <v>1537</v>
      </c>
      <c r="G85" s="200">
        <v>1</v>
      </c>
      <c r="H85" s="108" t="s">
        <v>655</v>
      </c>
      <c r="I85" s="475">
        <v>3000</v>
      </c>
      <c r="J85" s="560">
        <v>17</v>
      </c>
      <c r="K85" s="497">
        <v>0.17</v>
      </c>
      <c r="L85" s="496">
        <v>5.1</v>
      </c>
      <c r="M85" s="496">
        <v>0.867</v>
      </c>
      <c r="N85" s="498">
        <v>5.967</v>
      </c>
      <c r="O85" s="499">
        <v>19.89</v>
      </c>
      <c r="P85" s="236"/>
      <c r="Z85" s="168"/>
    </row>
    <row r="86" ht="16.5" customHeight="1" outlineLevel="4" spans="2:26">
      <c r="B86" s="470" t="s">
        <v>1697</v>
      </c>
      <c r="C86" s="473" t="s">
        <v>622</v>
      </c>
      <c r="D86" s="470" t="s">
        <v>1698</v>
      </c>
      <c r="E86" s="479" t="s">
        <v>1406</v>
      </c>
      <c r="F86" s="479" t="s">
        <v>505</v>
      </c>
      <c r="G86" s="200">
        <v>1</v>
      </c>
      <c r="H86" s="108" t="s">
        <v>655</v>
      </c>
      <c r="I86" s="200"/>
      <c r="J86" s="200"/>
      <c r="K86" s="41">
        <v>0.11</v>
      </c>
      <c r="L86" s="496">
        <v>0</v>
      </c>
      <c r="M86" s="496">
        <v>0</v>
      </c>
      <c r="N86" s="498">
        <v>0</v>
      </c>
      <c r="O86" s="499">
        <v>0</v>
      </c>
      <c r="P86" s="236"/>
      <c r="Z86" s="168"/>
    </row>
    <row r="87" ht="16.5" customHeight="1" outlineLevel="4" spans="2:26">
      <c r="B87" s="470" t="s">
        <v>1699</v>
      </c>
      <c r="C87" s="473" t="s">
        <v>622</v>
      </c>
      <c r="D87" s="470" t="s">
        <v>1700</v>
      </c>
      <c r="E87" s="479"/>
      <c r="F87" s="479" t="s">
        <v>505</v>
      </c>
      <c r="G87" s="200">
        <v>1</v>
      </c>
      <c r="H87" s="108" t="s">
        <v>655</v>
      </c>
      <c r="I87" s="200"/>
      <c r="J87" s="200"/>
      <c r="K87" s="41">
        <v>0.11</v>
      </c>
      <c r="L87" s="496">
        <v>0</v>
      </c>
      <c r="M87" s="496">
        <v>0</v>
      </c>
      <c r="N87" s="498">
        <v>0</v>
      </c>
      <c r="O87" s="499">
        <v>0</v>
      </c>
      <c r="P87" s="236"/>
      <c r="Z87" s="168"/>
    </row>
    <row r="88" ht="16.5" customHeight="1" outlineLevel="4" spans="2:26">
      <c r="B88" s="470" t="s">
        <v>1701</v>
      </c>
      <c r="C88" s="473" t="s">
        <v>622</v>
      </c>
      <c r="D88" s="470" t="s">
        <v>1702</v>
      </c>
      <c r="E88" s="479"/>
      <c r="F88" s="479" t="s">
        <v>505</v>
      </c>
      <c r="G88" s="200">
        <v>1</v>
      </c>
      <c r="H88" s="108" t="s">
        <v>655</v>
      </c>
      <c r="I88" s="200"/>
      <c r="J88" s="200"/>
      <c r="K88" s="41">
        <v>0.11</v>
      </c>
      <c r="L88" s="496">
        <v>0</v>
      </c>
      <c r="M88" s="496">
        <v>0</v>
      </c>
      <c r="N88" s="498">
        <v>0</v>
      </c>
      <c r="O88" s="499">
        <v>0</v>
      </c>
      <c r="P88" s="236"/>
      <c r="Z88" s="168"/>
    </row>
    <row r="89" ht="16.5" customHeight="1" spans="2:26">
      <c r="B89" s="468" t="s">
        <v>1703</v>
      </c>
      <c r="C89" s="469" t="s">
        <v>547</v>
      </c>
      <c r="D89" s="468" t="s">
        <v>482</v>
      </c>
      <c r="E89" s="192"/>
      <c r="F89" s="192"/>
      <c r="G89" s="192"/>
      <c r="H89" s="206"/>
      <c r="I89" s="488"/>
      <c r="J89" s="488"/>
      <c r="K89" s="488"/>
      <c r="L89" s="490">
        <v>0</v>
      </c>
      <c r="M89" s="490">
        <v>0</v>
      </c>
      <c r="N89" s="490">
        <v>0</v>
      </c>
      <c r="O89" s="491">
        <v>0</v>
      </c>
      <c r="P89" s="251"/>
      <c r="Z89" s="168"/>
    </row>
    <row r="90" ht="16.5" customHeight="1" outlineLevel="1" spans="2:26">
      <c r="B90" s="505" t="s">
        <v>1704</v>
      </c>
      <c r="C90" s="506">
        <v>1</v>
      </c>
      <c r="D90" s="505" t="s">
        <v>1705</v>
      </c>
      <c r="E90" s="193"/>
      <c r="F90" s="193"/>
      <c r="G90" s="193"/>
      <c r="H90" s="155"/>
      <c r="I90" s="492"/>
      <c r="J90" s="492"/>
      <c r="K90" s="492"/>
      <c r="L90" s="494">
        <v>0</v>
      </c>
      <c r="M90" s="494">
        <v>0</v>
      </c>
      <c r="N90" s="494">
        <v>0</v>
      </c>
      <c r="O90" s="495">
        <v>0</v>
      </c>
      <c r="P90" s="233"/>
      <c r="Z90" s="168"/>
    </row>
    <row r="91" ht="16.5" customHeight="1" outlineLevel="2" spans="2:26">
      <c r="B91" s="470" t="s">
        <v>1706</v>
      </c>
      <c r="C91" s="471" t="s">
        <v>619</v>
      </c>
      <c r="D91" s="470" t="s">
        <v>1707</v>
      </c>
      <c r="E91" s="290" t="s">
        <v>1363</v>
      </c>
      <c r="F91" s="290" t="s">
        <v>1537</v>
      </c>
      <c r="G91" s="200"/>
      <c r="H91" s="108" t="s">
        <v>655</v>
      </c>
      <c r="I91" s="475">
        <v>3000</v>
      </c>
      <c r="J91" s="475">
        <v>251.58</v>
      </c>
      <c r="K91" s="497">
        <v>0.11</v>
      </c>
      <c r="L91" s="477">
        <v>0</v>
      </c>
      <c r="M91" s="475">
        <v>0</v>
      </c>
      <c r="N91" s="498">
        <v>0</v>
      </c>
      <c r="O91" s="499">
        <v>0</v>
      </c>
      <c r="P91" s="309"/>
      <c r="Z91" s="168"/>
    </row>
    <row r="92" ht="16.5" customHeight="1" outlineLevel="2" spans="2:26">
      <c r="B92" s="470" t="s">
        <v>1708</v>
      </c>
      <c r="C92" s="471" t="s">
        <v>657</v>
      </c>
      <c r="D92" s="470" t="s">
        <v>1709</v>
      </c>
      <c r="E92" s="290" t="s">
        <v>1364</v>
      </c>
      <c r="F92" s="290" t="s">
        <v>1537</v>
      </c>
      <c r="G92" s="200"/>
      <c r="H92" s="108" t="s">
        <v>655</v>
      </c>
      <c r="I92" s="475">
        <v>3000</v>
      </c>
      <c r="J92" s="475">
        <v>77.87</v>
      </c>
      <c r="K92" s="497">
        <v>0.11</v>
      </c>
      <c r="L92" s="477">
        <v>0</v>
      </c>
      <c r="M92" s="475">
        <v>0</v>
      </c>
      <c r="N92" s="498">
        <v>0</v>
      </c>
      <c r="O92" s="499">
        <v>0</v>
      </c>
      <c r="P92" s="309"/>
      <c r="Z92" s="168"/>
    </row>
    <row r="93" ht="16.5" customHeight="1" outlineLevel="2" spans="2:26">
      <c r="B93" s="470" t="s">
        <v>1710</v>
      </c>
      <c r="C93" s="471" t="s">
        <v>762</v>
      </c>
      <c r="D93" s="470" t="s">
        <v>1711</v>
      </c>
      <c r="E93" s="290" t="s">
        <v>1365</v>
      </c>
      <c r="F93" s="290" t="s">
        <v>1537</v>
      </c>
      <c r="G93" s="200"/>
      <c r="H93" s="108" t="s">
        <v>655</v>
      </c>
      <c r="I93" s="475">
        <v>3000</v>
      </c>
      <c r="J93" s="475">
        <v>83.86</v>
      </c>
      <c r="K93" s="497">
        <v>0.11</v>
      </c>
      <c r="L93" s="477">
        <v>0</v>
      </c>
      <c r="M93" s="475">
        <v>0</v>
      </c>
      <c r="N93" s="498">
        <v>0</v>
      </c>
      <c r="O93" s="499">
        <v>0</v>
      </c>
      <c r="P93" s="309"/>
      <c r="Z93" s="168"/>
    </row>
    <row r="94" ht="16.5" customHeight="1" outlineLevel="2" spans="2:26">
      <c r="B94" s="470" t="s">
        <v>1712</v>
      </c>
      <c r="C94" s="471" t="s">
        <v>778</v>
      </c>
      <c r="D94" s="470" t="s">
        <v>1713</v>
      </c>
      <c r="E94" s="290" t="s">
        <v>1367</v>
      </c>
      <c r="F94" s="290" t="s">
        <v>1537</v>
      </c>
      <c r="G94" s="200"/>
      <c r="H94" s="108" t="s">
        <v>655</v>
      </c>
      <c r="I94" s="475">
        <v>3000</v>
      </c>
      <c r="J94" s="475">
        <v>17.97</v>
      </c>
      <c r="K94" s="497">
        <v>0.11</v>
      </c>
      <c r="L94" s="477">
        <v>0</v>
      </c>
      <c r="M94" s="475">
        <v>0</v>
      </c>
      <c r="N94" s="498">
        <v>0</v>
      </c>
      <c r="O94" s="499">
        <v>0</v>
      </c>
      <c r="P94" s="309"/>
      <c r="Z94" s="168"/>
    </row>
    <row r="95" ht="16.5" customHeight="1" outlineLevel="2" spans="2:26">
      <c r="B95" s="470" t="s">
        <v>1714</v>
      </c>
      <c r="C95" s="471" t="s">
        <v>781</v>
      </c>
      <c r="D95" s="470" t="s">
        <v>1715</v>
      </c>
      <c r="E95" s="290" t="s">
        <v>1368</v>
      </c>
      <c r="F95" s="290" t="s">
        <v>1537</v>
      </c>
      <c r="G95" s="200"/>
      <c r="H95" s="108" t="s">
        <v>655</v>
      </c>
      <c r="I95" s="475">
        <v>3000</v>
      </c>
      <c r="J95" s="475">
        <v>29.95</v>
      </c>
      <c r="K95" s="497">
        <v>0.11</v>
      </c>
      <c r="L95" s="477">
        <v>0</v>
      </c>
      <c r="M95" s="475">
        <v>0</v>
      </c>
      <c r="N95" s="498">
        <v>0</v>
      </c>
      <c r="O95" s="499">
        <v>0</v>
      </c>
      <c r="P95" s="309"/>
      <c r="Z95" s="168"/>
    </row>
    <row r="96" ht="16.5" customHeight="1" outlineLevel="2" spans="2:26">
      <c r="B96" s="470" t="s">
        <v>1716</v>
      </c>
      <c r="C96" s="471" t="s">
        <v>788</v>
      </c>
      <c r="D96" s="470" t="s">
        <v>1717</v>
      </c>
      <c r="E96" s="290" t="s">
        <v>1406</v>
      </c>
      <c r="F96" s="290" t="s">
        <v>1537</v>
      </c>
      <c r="G96" s="200"/>
      <c r="H96" s="108" t="s">
        <v>655</v>
      </c>
      <c r="I96" s="475">
        <v>3000</v>
      </c>
      <c r="J96" s="475">
        <v>30</v>
      </c>
      <c r="K96" s="497">
        <v>0.11</v>
      </c>
      <c r="L96" s="477">
        <v>0</v>
      </c>
      <c r="M96" s="475">
        <v>0</v>
      </c>
      <c r="N96" s="498">
        <v>0</v>
      </c>
      <c r="O96" s="499">
        <v>0</v>
      </c>
      <c r="P96" s="309"/>
      <c r="Z96" s="168"/>
    </row>
    <row r="97" ht="16.5" customHeight="1" outlineLevel="2" spans="2:26">
      <c r="B97" s="470" t="s">
        <v>1718</v>
      </c>
      <c r="C97" s="471" t="s">
        <v>791</v>
      </c>
      <c r="D97" s="470" t="s">
        <v>1719</v>
      </c>
      <c r="E97" s="290" t="s">
        <v>1369</v>
      </c>
      <c r="F97" s="290" t="s">
        <v>1537</v>
      </c>
      <c r="G97" s="200"/>
      <c r="H97" s="108" t="s">
        <v>655</v>
      </c>
      <c r="I97" s="475">
        <v>3000</v>
      </c>
      <c r="J97" s="475">
        <v>17.97</v>
      </c>
      <c r="K97" s="497">
        <v>0.11</v>
      </c>
      <c r="L97" s="477">
        <v>0</v>
      </c>
      <c r="M97" s="475">
        <v>0</v>
      </c>
      <c r="N97" s="498">
        <v>0</v>
      </c>
      <c r="O97" s="499">
        <v>0</v>
      </c>
      <c r="P97" s="309"/>
      <c r="Z97" s="168"/>
    </row>
    <row r="98" ht="16.5" customHeight="1" outlineLevel="2" spans="2:26">
      <c r="B98" s="470" t="s">
        <v>1720</v>
      </c>
      <c r="C98" s="471" t="s">
        <v>797</v>
      </c>
      <c r="D98" s="470" t="s">
        <v>1721</v>
      </c>
      <c r="E98" s="290" t="s">
        <v>1371</v>
      </c>
      <c r="F98" s="290" t="s">
        <v>1537</v>
      </c>
      <c r="G98" s="200"/>
      <c r="H98" s="108" t="s">
        <v>655</v>
      </c>
      <c r="I98" s="475">
        <v>3000</v>
      </c>
      <c r="J98" s="475">
        <v>58.702</v>
      </c>
      <c r="K98" s="497">
        <v>0.17</v>
      </c>
      <c r="L98" s="477">
        <v>0</v>
      </c>
      <c r="M98" s="475">
        <v>0</v>
      </c>
      <c r="N98" s="498">
        <v>0</v>
      </c>
      <c r="O98" s="499">
        <v>0</v>
      </c>
      <c r="P98" s="309"/>
      <c r="Z98" s="168"/>
    </row>
    <row r="99" ht="16.5" customHeight="1" outlineLevel="2" spans="2:26">
      <c r="B99" s="470" t="s">
        <v>1722</v>
      </c>
      <c r="C99" s="471" t="s">
        <v>1519</v>
      </c>
      <c r="D99" s="470" t="s">
        <v>1723</v>
      </c>
      <c r="E99" s="290" t="s">
        <v>1372</v>
      </c>
      <c r="F99" s="290" t="s">
        <v>1537</v>
      </c>
      <c r="G99" s="200"/>
      <c r="H99" s="108" t="s">
        <v>655</v>
      </c>
      <c r="I99" s="475">
        <v>3000</v>
      </c>
      <c r="J99" s="475">
        <v>5.99</v>
      </c>
      <c r="K99" s="497">
        <v>0.17</v>
      </c>
      <c r="L99" s="477">
        <v>0</v>
      </c>
      <c r="M99" s="475">
        <v>0</v>
      </c>
      <c r="N99" s="498">
        <v>0</v>
      </c>
      <c r="O99" s="499">
        <v>0</v>
      </c>
      <c r="P99" s="309"/>
      <c r="Z99" s="168"/>
    </row>
    <row r="100" ht="16.5" customHeight="1" outlineLevel="2" spans="2:26">
      <c r="B100" s="470" t="s">
        <v>1724</v>
      </c>
      <c r="C100" s="471" t="s">
        <v>1520</v>
      </c>
      <c r="D100" s="470" t="s">
        <v>1725</v>
      </c>
      <c r="E100" s="290" t="s">
        <v>1373</v>
      </c>
      <c r="F100" s="290" t="s">
        <v>1537</v>
      </c>
      <c r="G100" s="200"/>
      <c r="H100" s="108" t="s">
        <v>655</v>
      </c>
      <c r="I100" s="475">
        <v>3000</v>
      </c>
      <c r="J100" s="475">
        <v>5.99</v>
      </c>
      <c r="K100" s="497">
        <v>0.17</v>
      </c>
      <c r="L100" s="477">
        <v>0</v>
      </c>
      <c r="M100" s="475">
        <v>0</v>
      </c>
      <c r="N100" s="498">
        <v>0</v>
      </c>
      <c r="O100" s="499">
        <v>0</v>
      </c>
      <c r="P100" s="309"/>
      <c r="Z100" s="168"/>
    </row>
    <row r="101" ht="16.5" customHeight="1" outlineLevel="2" spans="2:26">
      <c r="B101" s="470" t="s">
        <v>1726</v>
      </c>
      <c r="C101" s="471" t="s">
        <v>1727</v>
      </c>
      <c r="D101" s="470" t="s">
        <v>1728</v>
      </c>
      <c r="E101" s="290" t="s">
        <v>1374</v>
      </c>
      <c r="F101" s="290" t="s">
        <v>1537</v>
      </c>
      <c r="G101" s="200"/>
      <c r="H101" s="108" t="s">
        <v>655</v>
      </c>
      <c r="I101" s="475">
        <v>3000</v>
      </c>
      <c r="J101" s="475">
        <v>2.396</v>
      </c>
      <c r="K101" s="497">
        <v>0.17</v>
      </c>
      <c r="L101" s="477">
        <v>0</v>
      </c>
      <c r="M101" s="475">
        <v>0</v>
      </c>
      <c r="N101" s="498">
        <v>0</v>
      </c>
      <c r="O101" s="499">
        <v>0</v>
      </c>
      <c r="P101" s="309"/>
      <c r="Z101" s="168"/>
    </row>
    <row r="102" ht="16.5" customHeight="1" outlineLevel="2" spans="2:26">
      <c r="B102" s="470" t="s">
        <v>1729</v>
      </c>
      <c r="C102" s="471" t="s">
        <v>1730</v>
      </c>
      <c r="D102" s="470" t="s">
        <v>1731</v>
      </c>
      <c r="E102" s="290" t="s">
        <v>1375</v>
      </c>
      <c r="F102" s="290" t="s">
        <v>1537</v>
      </c>
      <c r="G102" s="200"/>
      <c r="H102" s="108" t="s">
        <v>655</v>
      </c>
      <c r="I102" s="475">
        <v>3000</v>
      </c>
      <c r="J102" s="475">
        <v>2.396</v>
      </c>
      <c r="K102" s="497">
        <v>0.17</v>
      </c>
      <c r="L102" s="477">
        <v>0</v>
      </c>
      <c r="M102" s="475">
        <v>0</v>
      </c>
      <c r="N102" s="498">
        <v>0</v>
      </c>
      <c r="O102" s="499">
        <v>0</v>
      </c>
      <c r="P102" s="309"/>
      <c r="Z102" s="168"/>
    </row>
    <row r="103" s="456" customFormat="1" ht="16.5" customHeight="1" outlineLevel="2" spans="2:16">
      <c r="B103" s="470" t="s">
        <v>1732</v>
      </c>
      <c r="C103" s="471" t="s">
        <v>1733</v>
      </c>
      <c r="D103" s="470" t="s">
        <v>1734</v>
      </c>
      <c r="E103" s="290" t="s">
        <v>1376</v>
      </c>
      <c r="F103" s="290" t="s">
        <v>1537</v>
      </c>
      <c r="G103" s="200"/>
      <c r="H103" s="108" t="s">
        <v>655</v>
      </c>
      <c r="I103" s="475">
        <v>3000</v>
      </c>
      <c r="J103" s="475">
        <v>41.93</v>
      </c>
      <c r="K103" s="497">
        <v>0.17</v>
      </c>
      <c r="L103" s="477">
        <v>0</v>
      </c>
      <c r="M103" s="475">
        <v>0</v>
      </c>
      <c r="N103" s="498">
        <v>0</v>
      </c>
      <c r="O103" s="499">
        <v>0</v>
      </c>
      <c r="P103" s="309"/>
    </row>
    <row r="104" ht="16.5" customHeight="1" outlineLevel="2" spans="2:26">
      <c r="B104" s="470" t="s">
        <v>1735</v>
      </c>
      <c r="C104" s="471" t="s">
        <v>1736</v>
      </c>
      <c r="D104" s="470" t="s">
        <v>1737</v>
      </c>
      <c r="E104" s="290" t="s">
        <v>1376</v>
      </c>
      <c r="F104" s="290" t="s">
        <v>1537</v>
      </c>
      <c r="G104" s="200"/>
      <c r="H104" s="108" t="s">
        <v>655</v>
      </c>
      <c r="I104" s="475">
        <v>3000</v>
      </c>
      <c r="J104" s="475">
        <v>2.396</v>
      </c>
      <c r="K104" s="497">
        <v>0.17</v>
      </c>
      <c r="L104" s="477">
        <v>0</v>
      </c>
      <c r="M104" s="475">
        <v>0</v>
      </c>
      <c r="N104" s="498">
        <v>0</v>
      </c>
      <c r="O104" s="499">
        <v>0</v>
      </c>
      <c r="P104" s="309"/>
      <c r="Z104" s="168"/>
    </row>
    <row r="105" ht="16.5" customHeight="1" outlineLevel="2" spans="2:26">
      <c r="B105" s="470"/>
      <c r="C105" s="471"/>
      <c r="D105" s="470"/>
      <c r="E105" s="470"/>
      <c r="F105" s="290"/>
      <c r="G105" s="200"/>
      <c r="H105" s="108"/>
      <c r="I105" s="475"/>
      <c r="J105" s="475"/>
      <c r="K105" s="497"/>
      <c r="L105" s="477"/>
      <c r="M105" s="475"/>
      <c r="N105" s="498"/>
      <c r="O105" s="499"/>
      <c r="P105" s="309"/>
      <c r="Z105" s="168"/>
    </row>
    <row r="106" ht="16.5" customHeight="1" outlineLevel="2" spans="2:26">
      <c r="B106" s="470"/>
      <c r="C106" s="471"/>
      <c r="D106" s="470"/>
      <c r="E106" s="470"/>
      <c r="F106" s="290"/>
      <c r="G106" s="200"/>
      <c r="H106" s="108"/>
      <c r="I106" s="475"/>
      <c r="J106" s="475"/>
      <c r="K106" s="497"/>
      <c r="L106" s="477"/>
      <c r="M106" s="475"/>
      <c r="N106" s="498"/>
      <c r="O106" s="499"/>
      <c r="P106" s="309"/>
      <c r="Z106" s="168"/>
    </row>
    <row r="107" ht="16.5" customHeight="1" outlineLevel="1" spans="2:26">
      <c r="B107" s="505" t="s">
        <v>1738</v>
      </c>
      <c r="C107" s="506">
        <v>2</v>
      </c>
      <c r="D107" s="505" t="s">
        <v>1739</v>
      </c>
      <c r="E107" s="193"/>
      <c r="F107" s="193"/>
      <c r="G107" s="193"/>
      <c r="H107" s="155"/>
      <c r="I107" s="492"/>
      <c r="J107" s="492"/>
      <c r="K107" s="492"/>
      <c r="L107" s="494">
        <v>0</v>
      </c>
      <c r="M107" s="494">
        <v>0</v>
      </c>
      <c r="N107" s="494">
        <v>0</v>
      </c>
      <c r="O107" s="495">
        <v>0</v>
      </c>
      <c r="P107" s="233"/>
      <c r="Z107" s="168"/>
    </row>
    <row r="108" ht="16.5" customHeight="1" outlineLevel="2" spans="2:26">
      <c r="B108" s="470" t="s">
        <v>1740</v>
      </c>
      <c r="C108" s="471" t="s">
        <v>619</v>
      </c>
      <c r="D108" s="507" t="s">
        <v>1741</v>
      </c>
      <c r="E108" s="290" t="s">
        <v>1377</v>
      </c>
      <c r="F108" s="290" t="s">
        <v>1537</v>
      </c>
      <c r="G108" s="200"/>
      <c r="H108" s="108" t="s">
        <v>655</v>
      </c>
      <c r="I108" s="475">
        <v>3000</v>
      </c>
      <c r="J108" s="475">
        <v>10</v>
      </c>
      <c r="K108" s="517">
        <v>0.17</v>
      </c>
      <c r="L108" s="477">
        <v>0</v>
      </c>
      <c r="M108" s="475">
        <v>0</v>
      </c>
      <c r="N108" s="498">
        <v>0</v>
      </c>
      <c r="O108" s="499">
        <v>0</v>
      </c>
      <c r="P108" s="309"/>
      <c r="Z108" s="168"/>
    </row>
    <row r="109" ht="16.5" customHeight="1" outlineLevel="2" spans="2:26">
      <c r="B109" s="470" t="s">
        <v>1742</v>
      </c>
      <c r="C109" s="471" t="s">
        <v>657</v>
      </c>
      <c r="D109" s="507" t="s">
        <v>1743</v>
      </c>
      <c r="E109" s="290" t="s">
        <v>1377</v>
      </c>
      <c r="F109" s="290" t="s">
        <v>1537</v>
      </c>
      <c r="G109" s="200"/>
      <c r="H109" s="108" t="s">
        <v>655</v>
      </c>
      <c r="I109" s="475">
        <v>3000</v>
      </c>
      <c r="J109" s="475">
        <v>5</v>
      </c>
      <c r="K109" s="517">
        <v>0.17</v>
      </c>
      <c r="L109" s="477">
        <v>0</v>
      </c>
      <c r="M109" s="475">
        <v>0</v>
      </c>
      <c r="N109" s="498">
        <v>0</v>
      </c>
      <c r="O109" s="499">
        <v>0</v>
      </c>
      <c r="P109" s="309"/>
      <c r="Z109" s="168"/>
    </row>
    <row r="110" ht="16.5" customHeight="1" outlineLevel="2" spans="2:26">
      <c r="B110" s="470" t="s">
        <v>1744</v>
      </c>
      <c r="C110" s="471" t="s">
        <v>762</v>
      </c>
      <c r="D110" s="507" t="s">
        <v>1745</v>
      </c>
      <c r="E110" s="290" t="s">
        <v>1377</v>
      </c>
      <c r="F110" s="290" t="s">
        <v>1537</v>
      </c>
      <c r="G110" s="200"/>
      <c r="H110" s="108" t="s">
        <v>655</v>
      </c>
      <c r="I110" s="475">
        <v>3000</v>
      </c>
      <c r="J110" s="475">
        <v>5</v>
      </c>
      <c r="K110" s="517">
        <v>0.17</v>
      </c>
      <c r="L110" s="477">
        <v>0</v>
      </c>
      <c r="M110" s="475">
        <v>0</v>
      </c>
      <c r="N110" s="498">
        <v>0</v>
      </c>
      <c r="O110" s="499">
        <v>0</v>
      </c>
      <c r="P110" s="309"/>
      <c r="Z110" s="168"/>
    </row>
    <row r="111" ht="16.5" customHeight="1" outlineLevel="1" collapsed="1" spans="2:26">
      <c r="B111" s="505" t="s">
        <v>1746</v>
      </c>
      <c r="C111" s="506">
        <v>3</v>
      </c>
      <c r="D111" s="505" t="s">
        <v>1747</v>
      </c>
      <c r="E111" s="193"/>
      <c r="F111" s="193"/>
      <c r="G111" s="193"/>
      <c r="H111" s="155"/>
      <c r="I111" s="492"/>
      <c r="J111" s="492"/>
      <c r="K111" s="492"/>
      <c r="L111" s="494">
        <v>0</v>
      </c>
      <c r="M111" s="494">
        <v>0</v>
      </c>
      <c r="N111" s="494">
        <v>0</v>
      </c>
      <c r="O111" s="495">
        <v>0</v>
      </c>
      <c r="P111" s="233"/>
      <c r="Z111" s="168"/>
    </row>
    <row r="112" s="456" customFormat="1" ht="16.5" customHeight="1" outlineLevel="1" spans="2:16">
      <c r="B112" s="508" t="s">
        <v>1748</v>
      </c>
      <c r="C112" s="471" t="s">
        <v>619</v>
      </c>
      <c r="D112" s="470" t="s">
        <v>1747</v>
      </c>
      <c r="E112" s="470"/>
      <c r="F112" s="290" t="s">
        <v>1537</v>
      </c>
      <c r="G112" s="200">
        <v>0</v>
      </c>
      <c r="H112" s="108" t="s">
        <v>655</v>
      </c>
      <c r="I112" s="475">
        <v>3000</v>
      </c>
      <c r="J112" s="475">
        <v>2</v>
      </c>
      <c r="K112" s="517">
        <v>0.11</v>
      </c>
      <c r="L112" s="477">
        <v>0</v>
      </c>
      <c r="M112" s="475">
        <v>0</v>
      </c>
      <c r="N112" s="498">
        <v>0</v>
      </c>
      <c r="O112" s="499">
        <v>0</v>
      </c>
      <c r="P112" s="309"/>
    </row>
    <row r="113" s="456" customFormat="1" ht="16.5" customHeight="1" outlineLevel="1" spans="2:16">
      <c r="B113" s="508" t="s">
        <v>1749</v>
      </c>
      <c r="C113" s="471" t="s">
        <v>657</v>
      </c>
      <c r="D113" s="470" t="s">
        <v>1125</v>
      </c>
      <c r="E113" s="471" t="s">
        <v>1125</v>
      </c>
      <c r="F113" s="366"/>
      <c r="G113" s="366"/>
      <c r="H113" s="313"/>
      <c r="I113" s="518"/>
      <c r="J113" s="519"/>
      <c r="K113" s="518"/>
      <c r="L113" s="477">
        <v>0</v>
      </c>
      <c r="M113" s="475">
        <v>0</v>
      </c>
      <c r="N113" s="498">
        <v>0</v>
      </c>
      <c r="O113" s="499">
        <v>0</v>
      </c>
      <c r="P113" s="309"/>
    </row>
    <row r="114" ht="16.5" customHeight="1" outlineLevel="1" spans="2:26">
      <c r="B114" s="505" t="s">
        <v>1750</v>
      </c>
      <c r="C114" s="506">
        <v>4</v>
      </c>
      <c r="D114" s="505" t="s">
        <v>1751</v>
      </c>
      <c r="E114" s="193"/>
      <c r="F114" s="193"/>
      <c r="G114" s="193"/>
      <c r="H114" s="155"/>
      <c r="I114" s="492"/>
      <c r="J114" s="492"/>
      <c r="K114" s="492"/>
      <c r="L114" s="492">
        <v>0</v>
      </c>
      <c r="M114" s="155">
        <v>0</v>
      </c>
      <c r="N114" s="494">
        <v>0</v>
      </c>
      <c r="O114" s="495">
        <v>0</v>
      </c>
      <c r="P114" s="233"/>
      <c r="Z114" s="168"/>
    </row>
    <row r="115" ht="16.5" customHeight="1" spans="2:26">
      <c r="B115" s="468" t="s">
        <v>1752</v>
      </c>
      <c r="C115" s="469" t="s">
        <v>548</v>
      </c>
      <c r="D115" s="468" t="s">
        <v>483</v>
      </c>
      <c r="E115" s="192"/>
      <c r="F115" s="192"/>
      <c r="G115" s="192"/>
      <c r="H115" s="192"/>
      <c r="I115" s="488"/>
      <c r="J115" s="192"/>
      <c r="K115" s="546"/>
      <c r="L115" s="206">
        <v>192.134923076923</v>
      </c>
      <c r="M115" s="206">
        <v>21.9040723076923</v>
      </c>
      <c r="N115" s="206">
        <v>214.038995384615</v>
      </c>
      <c r="O115" s="491">
        <v>713.463317948718</v>
      </c>
      <c r="P115" s="230"/>
      <c r="Z115" s="168"/>
    </row>
    <row r="116" ht="16.5" customHeight="1" outlineLevel="1" spans="2:26">
      <c r="B116" s="505" t="s">
        <v>549</v>
      </c>
      <c r="C116" s="506">
        <v>1</v>
      </c>
      <c r="D116" s="505" t="s">
        <v>550</v>
      </c>
      <c r="E116" s="193"/>
      <c r="F116" s="193"/>
      <c r="G116" s="193"/>
      <c r="H116" s="155"/>
      <c r="I116" s="492"/>
      <c r="J116" s="155"/>
      <c r="K116" s="521"/>
      <c r="L116" s="155">
        <v>182.998923076923</v>
      </c>
      <c r="M116" s="155">
        <v>20.8991123076923</v>
      </c>
      <c r="N116" s="494">
        <v>203.898035384615</v>
      </c>
      <c r="O116" s="495">
        <v>679.660117948718</v>
      </c>
      <c r="P116" s="233"/>
      <c r="Z116" s="168"/>
    </row>
    <row r="117" ht="16.5" customHeight="1" outlineLevel="2" spans="2:26">
      <c r="B117" s="470" t="s">
        <v>1753</v>
      </c>
      <c r="C117" s="471" t="s">
        <v>619</v>
      </c>
      <c r="D117" s="507" t="s">
        <v>1754</v>
      </c>
      <c r="E117" s="290"/>
      <c r="F117" s="290"/>
      <c r="G117" s="292"/>
      <c r="H117" s="292"/>
      <c r="I117" s="475"/>
      <c r="J117" s="301"/>
      <c r="K117" s="517"/>
      <c r="L117" s="301">
        <v>37.7769230769231</v>
      </c>
      <c r="M117" s="301">
        <v>4.92469230769231</v>
      </c>
      <c r="N117" s="498">
        <v>42.7016153846154</v>
      </c>
      <c r="O117" s="499">
        <v>142.338717948718</v>
      </c>
      <c r="P117" s="309"/>
      <c r="Z117" s="168"/>
    </row>
    <row r="118" ht="16.5" customHeight="1" outlineLevel="3" spans="2:26">
      <c r="B118" s="470" t="s">
        <v>1755</v>
      </c>
      <c r="C118" s="473" t="s">
        <v>622</v>
      </c>
      <c r="D118" s="507" t="s">
        <v>1756</v>
      </c>
      <c r="E118" s="290" t="s">
        <v>1380</v>
      </c>
      <c r="F118" s="290"/>
      <c r="G118" s="200"/>
      <c r="H118" s="503"/>
      <c r="I118" s="478"/>
      <c r="J118" s="477"/>
      <c r="K118" s="522"/>
      <c r="L118" s="477">
        <v>12.8205128205128</v>
      </c>
      <c r="M118" s="477">
        <v>2.17948717948718</v>
      </c>
      <c r="N118" s="498">
        <v>15</v>
      </c>
      <c r="O118" s="499">
        <v>50</v>
      </c>
      <c r="P118" s="523"/>
      <c r="Z118" s="168"/>
    </row>
    <row r="119" ht="16.5" customHeight="1" outlineLevel="3" spans="2:26">
      <c r="B119" s="470" t="s">
        <v>1757</v>
      </c>
      <c r="C119" s="473"/>
      <c r="D119" s="509" t="s">
        <v>1952</v>
      </c>
      <c r="E119" s="290"/>
      <c r="F119" s="290" t="s">
        <v>1537</v>
      </c>
      <c r="G119" s="510"/>
      <c r="H119" s="503" t="s">
        <v>1015</v>
      </c>
      <c r="I119" s="475">
        <v>3000</v>
      </c>
      <c r="J119" s="477">
        <v>6</v>
      </c>
      <c r="K119" s="522">
        <v>0.17</v>
      </c>
      <c r="L119" s="477">
        <v>0</v>
      </c>
      <c r="M119" s="477">
        <v>0</v>
      </c>
      <c r="N119" s="498">
        <v>0</v>
      </c>
      <c r="O119" s="499">
        <v>0</v>
      </c>
      <c r="P119" s="523"/>
      <c r="Z119" s="168"/>
    </row>
    <row r="120" ht="16.5" customHeight="1" outlineLevel="3" spans="2:26">
      <c r="B120" s="470" t="s">
        <v>1759</v>
      </c>
      <c r="C120" s="473"/>
      <c r="D120" s="509" t="s">
        <v>1760</v>
      </c>
      <c r="E120" s="290"/>
      <c r="F120" s="290" t="s">
        <v>1537</v>
      </c>
      <c r="G120" s="510">
        <v>1</v>
      </c>
      <c r="H120" s="503" t="s">
        <v>1015</v>
      </c>
      <c r="I120" s="475">
        <v>3000</v>
      </c>
      <c r="J120" s="560">
        <v>42.7350427350427</v>
      </c>
      <c r="K120" s="522">
        <v>0.17</v>
      </c>
      <c r="L120" s="477">
        <v>12.8205128205128</v>
      </c>
      <c r="M120" s="477">
        <v>2.17948717948718</v>
      </c>
      <c r="N120" s="498">
        <v>15</v>
      </c>
      <c r="O120" s="499">
        <v>50</v>
      </c>
      <c r="P120" s="523"/>
      <c r="Z120" s="168"/>
    </row>
    <row r="121" ht="16.5" customHeight="1" outlineLevel="3" spans="2:26">
      <c r="B121" s="470" t="s">
        <v>1761</v>
      </c>
      <c r="C121" s="473" t="s">
        <v>622</v>
      </c>
      <c r="D121" s="507" t="s">
        <v>1762</v>
      </c>
      <c r="E121" s="290" t="s">
        <v>1381</v>
      </c>
      <c r="F121" s="290"/>
      <c r="G121" s="200"/>
      <c r="H121" s="108"/>
      <c r="I121" s="478"/>
      <c r="J121" s="477"/>
      <c r="K121" s="522"/>
      <c r="L121" s="477">
        <v>10.2564102564103</v>
      </c>
      <c r="M121" s="477">
        <v>1.12820512820513</v>
      </c>
      <c r="N121" s="498">
        <v>11.3846153846154</v>
      </c>
      <c r="O121" s="499">
        <v>37.9487179487179</v>
      </c>
      <c r="P121" s="523"/>
      <c r="Z121" s="168"/>
    </row>
    <row r="122" ht="16.5" customHeight="1" outlineLevel="3" spans="2:26">
      <c r="B122" s="470" t="s">
        <v>1763</v>
      </c>
      <c r="C122" s="473"/>
      <c r="D122" s="509" t="s">
        <v>1953</v>
      </c>
      <c r="E122" s="290"/>
      <c r="F122" s="290" t="s">
        <v>1537</v>
      </c>
      <c r="G122" s="510"/>
      <c r="H122" s="503" t="s">
        <v>1015</v>
      </c>
      <c r="I122" s="475">
        <v>3000</v>
      </c>
      <c r="J122" s="477">
        <v>29</v>
      </c>
      <c r="K122" s="522">
        <v>0.11</v>
      </c>
      <c r="L122" s="477">
        <v>0</v>
      </c>
      <c r="M122" s="477">
        <v>0</v>
      </c>
      <c r="N122" s="498">
        <v>0</v>
      </c>
      <c r="O122" s="499">
        <v>0</v>
      </c>
      <c r="P122" s="523"/>
      <c r="Z122" s="168"/>
    </row>
    <row r="123" ht="16.5" customHeight="1" outlineLevel="3" spans="2:26">
      <c r="B123" s="470" t="s">
        <v>1765</v>
      </c>
      <c r="C123" s="473"/>
      <c r="D123" s="509" t="s">
        <v>1766</v>
      </c>
      <c r="E123" s="290"/>
      <c r="F123" s="290" t="s">
        <v>1537</v>
      </c>
      <c r="G123" s="510">
        <v>1</v>
      </c>
      <c r="H123" s="503" t="s">
        <v>1015</v>
      </c>
      <c r="I123" s="475">
        <v>3000</v>
      </c>
      <c r="J123" s="560">
        <v>34.1880341880342</v>
      </c>
      <c r="K123" s="522">
        <v>0.11</v>
      </c>
      <c r="L123" s="477">
        <v>10.2564102564103</v>
      </c>
      <c r="M123" s="477">
        <v>1.12820512820513</v>
      </c>
      <c r="N123" s="498">
        <v>11.3846153846154</v>
      </c>
      <c r="O123" s="499">
        <v>37.9487179487179</v>
      </c>
      <c r="P123" s="523"/>
      <c r="Z123" s="168"/>
    </row>
    <row r="124" ht="16.5" customHeight="1" outlineLevel="3" spans="2:26">
      <c r="B124" s="470" t="s">
        <v>1767</v>
      </c>
      <c r="C124" s="473" t="s">
        <v>622</v>
      </c>
      <c r="D124" s="507" t="s">
        <v>1768</v>
      </c>
      <c r="E124" s="479" t="s">
        <v>1382</v>
      </c>
      <c r="F124" s="479"/>
      <c r="G124" s="511"/>
      <c r="H124" s="477"/>
      <c r="I124" s="478"/>
      <c r="J124" s="477"/>
      <c r="K124" s="522">
        <v>0.11</v>
      </c>
      <c r="L124" s="477">
        <v>0</v>
      </c>
      <c r="M124" s="477">
        <v>0</v>
      </c>
      <c r="N124" s="498">
        <v>0</v>
      </c>
      <c r="O124" s="499">
        <v>0</v>
      </c>
      <c r="P124" s="523"/>
      <c r="Z124" s="168"/>
    </row>
    <row r="125" ht="16.5" customHeight="1" outlineLevel="3" spans="2:26">
      <c r="B125" s="470" t="s">
        <v>1769</v>
      </c>
      <c r="C125" s="473" t="s">
        <v>622</v>
      </c>
      <c r="D125" s="507" t="s">
        <v>1770</v>
      </c>
      <c r="E125" s="479" t="s">
        <v>1383</v>
      </c>
      <c r="F125" s="479"/>
      <c r="G125" s="511"/>
      <c r="H125" s="477"/>
      <c r="I125" s="478"/>
      <c r="J125" s="477"/>
      <c r="K125" s="522">
        <v>0.11</v>
      </c>
      <c r="L125" s="477">
        <v>0</v>
      </c>
      <c r="M125" s="477">
        <v>0</v>
      </c>
      <c r="N125" s="498">
        <v>0</v>
      </c>
      <c r="O125" s="499">
        <v>0</v>
      </c>
      <c r="P125" s="523"/>
      <c r="Z125" s="168"/>
    </row>
    <row r="126" ht="16.5" customHeight="1" outlineLevel="3" spans="2:26">
      <c r="B126" s="470" t="s">
        <v>1771</v>
      </c>
      <c r="C126" s="473" t="s">
        <v>622</v>
      </c>
      <c r="D126" s="507" t="s">
        <v>1772</v>
      </c>
      <c r="E126" s="479" t="s">
        <v>1384</v>
      </c>
      <c r="F126" s="479"/>
      <c r="G126" s="511"/>
      <c r="H126" s="477"/>
      <c r="I126" s="475"/>
      <c r="J126" s="477"/>
      <c r="K126" s="522">
        <v>0.11</v>
      </c>
      <c r="L126" s="477">
        <v>0</v>
      </c>
      <c r="M126" s="477">
        <v>0</v>
      </c>
      <c r="N126" s="498">
        <v>0</v>
      </c>
      <c r="O126" s="499">
        <v>0</v>
      </c>
      <c r="P126" s="523"/>
      <c r="Z126" s="168"/>
    </row>
    <row r="127" ht="16.5" customHeight="1" outlineLevel="3" spans="2:26">
      <c r="B127" s="470" t="s">
        <v>1773</v>
      </c>
      <c r="C127" s="473" t="s">
        <v>622</v>
      </c>
      <c r="D127" s="507" t="s">
        <v>1774</v>
      </c>
      <c r="E127" s="479" t="s">
        <v>1385</v>
      </c>
      <c r="F127" s="479"/>
      <c r="G127" s="512"/>
      <c r="H127" s="477"/>
      <c r="I127" s="478"/>
      <c r="J127" s="477"/>
      <c r="K127" s="522">
        <v>0.17</v>
      </c>
      <c r="L127" s="477">
        <v>0</v>
      </c>
      <c r="M127" s="477">
        <v>0</v>
      </c>
      <c r="N127" s="498">
        <v>0</v>
      </c>
      <c r="O127" s="499">
        <v>0</v>
      </c>
      <c r="P127" s="523"/>
      <c r="Z127" s="168"/>
    </row>
    <row r="128" ht="16.5" customHeight="1" outlineLevel="3" spans="2:26">
      <c r="B128" s="470" t="s">
        <v>1775</v>
      </c>
      <c r="C128" s="473" t="s">
        <v>622</v>
      </c>
      <c r="D128" s="507" t="s">
        <v>1776</v>
      </c>
      <c r="E128" s="479" t="s">
        <v>774</v>
      </c>
      <c r="F128" s="479"/>
      <c r="G128" s="511"/>
      <c r="H128" s="477"/>
      <c r="I128" s="475"/>
      <c r="J128" s="477"/>
      <c r="K128" s="522">
        <v>0.11</v>
      </c>
      <c r="L128" s="477">
        <v>0</v>
      </c>
      <c r="M128" s="477">
        <v>0</v>
      </c>
      <c r="N128" s="498">
        <v>0</v>
      </c>
      <c r="O128" s="499">
        <v>0</v>
      </c>
      <c r="P128" s="523"/>
      <c r="Z128" s="168"/>
    </row>
    <row r="129" ht="16.5" customHeight="1" outlineLevel="3" spans="2:26">
      <c r="B129" s="470" t="s">
        <v>1777</v>
      </c>
      <c r="C129" s="473" t="s">
        <v>622</v>
      </c>
      <c r="D129" s="507" t="s">
        <v>1778</v>
      </c>
      <c r="E129" s="479" t="s">
        <v>1387</v>
      </c>
      <c r="F129" s="479" t="s">
        <v>602</v>
      </c>
      <c r="G129" s="513">
        <v>1</v>
      </c>
      <c r="H129" s="503" t="s">
        <v>1832</v>
      </c>
      <c r="I129" s="200">
        <v>40</v>
      </c>
      <c r="J129" s="292">
        <v>3000</v>
      </c>
      <c r="K129" s="517">
        <v>0.11</v>
      </c>
      <c r="L129" s="477">
        <v>12</v>
      </c>
      <c r="M129" s="292">
        <v>1.32</v>
      </c>
      <c r="N129" s="498">
        <v>13.32</v>
      </c>
      <c r="O129" s="499">
        <v>44.4</v>
      </c>
      <c r="P129" s="309"/>
      <c r="Z129" s="168"/>
    </row>
    <row r="130" ht="16.5" customHeight="1" outlineLevel="3" spans="2:26">
      <c r="B130" s="470" t="s">
        <v>1780</v>
      </c>
      <c r="C130" s="473" t="s">
        <v>622</v>
      </c>
      <c r="D130" s="507" t="s">
        <v>1781</v>
      </c>
      <c r="E130" s="479" t="s">
        <v>1388</v>
      </c>
      <c r="F130" s="479"/>
      <c r="G130" s="510"/>
      <c r="H130" s="524"/>
      <c r="I130" s="475"/>
      <c r="J130" s="524"/>
      <c r="K130" s="548">
        <v>0.11</v>
      </c>
      <c r="L130" s="477">
        <v>0</v>
      </c>
      <c r="M130" s="524">
        <v>0</v>
      </c>
      <c r="N130" s="498">
        <v>0</v>
      </c>
      <c r="O130" s="499">
        <v>0</v>
      </c>
      <c r="P130" s="309"/>
      <c r="Z130" s="168"/>
    </row>
    <row r="131" s="456" customFormat="1" ht="16.5" customHeight="1" outlineLevel="3" spans="2:16">
      <c r="B131" s="470" t="s">
        <v>1783</v>
      </c>
      <c r="C131" s="561" t="s">
        <v>622</v>
      </c>
      <c r="D131" s="507" t="s">
        <v>1787</v>
      </c>
      <c r="E131" s="290"/>
      <c r="F131" s="290" t="s">
        <v>505</v>
      </c>
      <c r="G131" s="562">
        <v>1</v>
      </c>
      <c r="H131" s="524" t="s">
        <v>655</v>
      </c>
      <c r="I131" s="475">
        <v>3000</v>
      </c>
      <c r="J131" s="524">
        <v>9</v>
      </c>
      <c r="K131" s="548">
        <v>0.11</v>
      </c>
      <c r="L131" s="477">
        <v>2.7</v>
      </c>
      <c r="M131" s="524">
        <v>0.297</v>
      </c>
      <c r="N131" s="498">
        <v>2.997</v>
      </c>
      <c r="O131" s="499">
        <v>9.99</v>
      </c>
      <c r="P131" s="309"/>
    </row>
    <row r="132" ht="16.5" customHeight="1" outlineLevel="2" spans="2:26">
      <c r="B132" s="470" t="s">
        <v>1788</v>
      </c>
      <c r="C132" s="471" t="s">
        <v>657</v>
      </c>
      <c r="D132" s="507" t="s">
        <v>1789</v>
      </c>
      <c r="E132" s="290"/>
      <c r="F132" s="290"/>
      <c r="G132" s="292"/>
      <c r="H132" s="292"/>
      <c r="I132" s="475"/>
      <c r="J132" s="301"/>
      <c r="K132" s="517"/>
      <c r="L132" s="301">
        <v>7.6</v>
      </c>
      <c r="M132" s="301">
        <v>0.836</v>
      </c>
      <c r="N132" s="498">
        <v>8.436</v>
      </c>
      <c r="O132" s="499">
        <v>28.12</v>
      </c>
      <c r="P132" s="309"/>
      <c r="Z132" s="168"/>
    </row>
    <row r="133" ht="16.5" customHeight="1" outlineLevel="3" spans="2:26">
      <c r="B133" s="470" t="s">
        <v>1790</v>
      </c>
      <c r="C133" s="473" t="s">
        <v>622</v>
      </c>
      <c r="D133" s="507" t="s">
        <v>1791</v>
      </c>
      <c r="E133" s="479" t="s">
        <v>1387</v>
      </c>
      <c r="F133" s="479" t="s">
        <v>1792</v>
      </c>
      <c r="G133" s="525">
        <v>15</v>
      </c>
      <c r="H133" s="503" t="s">
        <v>1954</v>
      </c>
      <c r="I133" s="475">
        <v>4</v>
      </c>
      <c r="J133" s="475">
        <v>126.126126126126</v>
      </c>
      <c r="K133" s="548">
        <v>0.11</v>
      </c>
      <c r="L133" s="477">
        <v>0.756756756756757</v>
      </c>
      <c r="M133" s="524">
        <v>0.0832432432432432</v>
      </c>
      <c r="N133" s="498">
        <v>0.84</v>
      </c>
      <c r="O133" s="499">
        <v>2.8</v>
      </c>
      <c r="P133" s="309"/>
      <c r="Z133" s="168"/>
    </row>
    <row r="134" ht="16.5" customHeight="1" outlineLevel="3" spans="2:26">
      <c r="B134" s="470" t="s">
        <v>1794</v>
      </c>
      <c r="C134" s="473" t="s">
        <v>622</v>
      </c>
      <c r="D134" s="507" t="s">
        <v>1795</v>
      </c>
      <c r="E134" s="479" t="s">
        <v>1387</v>
      </c>
      <c r="F134" s="479"/>
      <c r="G134" s="525"/>
      <c r="H134" s="292"/>
      <c r="I134" s="475"/>
      <c r="J134" s="292"/>
      <c r="K134" s="517">
        <v>0.11</v>
      </c>
      <c r="L134" s="477">
        <v>0</v>
      </c>
      <c r="M134" s="292">
        <v>0</v>
      </c>
      <c r="N134" s="498">
        <v>0</v>
      </c>
      <c r="O134" s="499">
        <v>0</v>
      </c>
      <c r="P134" s="309"/>
      <c r="Z134" s="168"/>
    </row>
    <row r="135" ht="16.5" customHeight="1" outlineLevel="3" spans="2:26">
      <c r="B135" s="470" t="s">
        <v>1796</v>
      </c>
      <c r="C135" s="473" t="s">
        <v>622</v>
      </c>
      <c r="D135" s="507" t="s">
        <v>1797</v>
      </c>
      <c r="E135" s="479" t="s">
        <v>1387</v>
      </c>
      <c r="F135" s="479" t="s">
        <v>601</v>
      </c>
      <c r="G135" s="525">
        <v>3</v>
      </c>
      <c r="H135" s="292" t="s">
        <v>1637</v>
      </c>
      <c r="I135" s="475">
        <v>40</v>
      </c>
      <c r="J135" s="475">
        <v>157.657657657658</v>
      </c>
      <c r="K135" s="517">
        <v>0.11</v>
      </c>
      <c r="L135" s="477">
        <v>1.89189189189189</v>
      </c>
      <c r="M135" s="292">
        <v>0.208108108108108</v>
      </c>
      <c r="N135" s="498">
        <v>2.1</v>
      </c>
      <c r="O135" s="499">
        <v>7</v>
      </c>
      <c r="P135" s="309"/>
      <c r="Z135" s="168"/>
    </row>
    <row r="136" ht="16.5" customHeight="1" outlineLevel="3" spans="2:26">
      <c r="B136" s="470" t="s">
        <v>1798</v>
      </c>
      <c r="C136" s="473" t="s">
        <v>622</v>
      </c>
      <c r="D136" s="507" t="s">
        <v>1799</v>
      </c>
      <c r="E136" s="479" t="s">
        <v>1386</v>
      </c>
      <c r="F136" s="479" t="s">
        <v>601</v>
      </c>
      <c r="G136" s="510">
        <v>3</v>
      </c>
      <c r="H136" s="524" t="s">
        <v>1637</v>
      </c>
      <c r="I136" s="475">
        <v>40</v>
      </c>
      <c r="J136" s="475">
        <v>106.306306306306</v>
      </c>
      <c r="K136" s="548">
        <v>0.11</v>
      </c>
      <c r="L136" s="477">
        <v>1.27567567567568</v>
      </c>
      <c r="M136" s="524">
        <v>0.140324324324324</v>
      </c>
      <c r="N136" s="498">
        <v>1.416</v>
      </c>
      <c r="O136" s="499">
        <v>4.72</v>
      </c>
      <c r="P136" s="309"/>
      <c r="Z136" s="168"/>
    </row>
    <row r="137" ht="16.5" customHeight="1" outlineLevel="3" spans="2:26">
      <c r="B137" s="470" t="s">
        <v>1800</v>
      </c>
      <c r="C137" s="473" t="s">
        <v>622</v>
      </c>
      <c r="D137" s="507" t="s">
        <v>1801</v>
      </c>
      <c r="E137" s="479" t="s">
        <v>1387</v>
      </c>
      <c r="F137" s="479" t="s">
        <v>601</v>
      </c>
      <c r="G137" s="511">
        <v>6</v>
      </c>
      <c r="H137" s="292" t="s">
        <v>1785</v>
      </c>
      <c r="I137" s="475">
        <v>40</v>
      </c>
      <c r="J137" s="475">
        <v>153.153153153153</v>
      </c>
      <c r="K137" s="517">
        <v>0.11</v>
      </c>
      <c r="L137" s="477">
        <v>3.67567567567568</v>
      </c>
      <c r="M137" s="292">
        <v>0.404324324324324</v>
      </c>
      <c r="N137" s="498">
        <v>4.08</v>
      </c>
      <c r="O137" s="499">
        <v>13.6</v>
      </c>
      <c r="P137" s="309"/>
      <c r="Z137" s="168"/>
    </row>
    <row r="138" ht="16.5" customHeight="1" outlineLevel="2" spans="2:26">
      <c r="B138" s="470" t="s">
        <v>1802</v>
      </c>
      <c r="C138" s="471" t="s">
        <v>762</v>
      </c>
      <c r="D138" s="507" t="s">
        <v>1803</v>
      </c>
      <c r="E138" s="290"/>
      <c r="F138" s="290"/>
      <c r="G138" s="292"/>
      <c r="H138" s="292"/>
      <c r="I138" s="475"/>
      <c r="J138" s="301"/>
      <c r="K138" s="517"/>
      <c r="L138" s="301">
        <v>50.1</v>
      </c>
      <c r="M138" s="301">
        <v>5.511</v>
      </c>
      <c r="N138" s="498">
        <v>55.611</v>
      </c>
      <c r="O138" s="499">
        <v>185.37</v>
      </c>
      <c r="P138" s="309"/>
      <c r="Z138" s="168"/>
    </row>
    <row r="139" ht="16.5" customHeight="1" outlineLevel="3" spans="2:26">
      <c r="B139" s="470" t="s">
        <v>1804</v>
      </c>
      <c r="C139" s="473" t="s">
        <v>622</v>
      </c>
      <c r="D139" s="507" t="s">
        <v>1805</v>
      </c>
      <c r="E139" s="479" t="s">
        <v>1386</v>
      </c>
      <c r="F139" s="479" t="s">
        <v>602</v>
      </c>
      <c r="G139" s="502">
        <v>1</v>
      </c>
      <c r="H139" s="503" t="s">
        <v>1955</v>
      </c>
      <c r="I139" s="200">
        <v>2</v>
      </c>
      <c r="J139" s="524">
        <v>6300</v>
      </c>
      <c r="K139" s="548">
        <v>0.11</v>
      </c>
      <c r="L139" s="477">
        <v>1.26</v>
      </c>
      <c r="M139" s="524">
        <v>0.1386</v>
      </c>
      <c r="N139" s="498">
        <v>1.3986</v>
      </c>
      <c r="O139" s="499">
        <v>4.662</v>
      </c>
      <c r="P139" s="309"/>
      <c r="Z139" s="168"/>
    </row>
    <row r="140" ht="16.5" customHeight="1" outlineLevel="3" spans="2:26">
      <c r="B140" s="470" t="s">
        <v>1807</v>
      </c>
      <c r="C140" s="473" t="s">
        <v>622</v>
      </c>
      <c r="D140" s="507" t="s">
        <v>1956</v>
      </c>
      <c r="E140" s="479" t="s">
        <v>1389</v>
      </c>
      <c r="F140" s="479" t="s">
        <v>601</v>
      </c>
      <c r="G140" s="525">
        <v>1</v>
      </c>
      <c r="H140" s="292" t="s">
        <v>1809</v>
      </c>
      <c r="I140" s="475">
        <v>40</v>
      </c>
      <c r="J140" s="292">
        <v>2700</v>
      </c>
      <c r="K140" s="517">
        <v>0.11</v>
      </c>
      <c r="L140" s="477">
        <v>10.8</v>
      </c>
      <c r="M140" s="292">
        <v>1.188</v>
      </c>
      <c r="N140" s="498">
        <v>11.988</v>
      </c>
      <c r="O140" s="499">
        <v>39.96</v>
      </c>
      <c r="P140" s="309"/>
      <c r="Z140" s="168"/>
    </row>
    <row r="141" ht="16.5" customHeight="1" outlineLevel="3" spans="2:26">
      <c r="B141" s="470" t="s">
        <v>1810</v>
      </c>
      <c r="C141" s="473" t="s">
        <v>622</v>
      </c>
      <c r="D141" s="507" t="s">
        <v>1811</v>
      </c>
      <c r="E141" s="479" t="s">
        <v>931</v>
      </c>
      <c r="F141" s="479" t="s">
        <v>602</v>
      </c>
      <c r="G141" s="511">
        <v>30</v>
      </c>
      <c r="H141" s="503" t="s">
        <v>1955</v>
      </c>
      <c r="I141" s="475">
        <v>2</v>
      </c>
      <c r="J141" s="524">
        <v>940</v>
      </c>
      <c r="K141" s="548">
        <v>0.11</v>
      </c>
      <c r="L141" s="477">
        <v>5.64</v>
      </c>
      <c r="M141" s="524">
        <v>0.6204</v>
      </c>
      <c r="N141" s="498">
        <v>6.2604</v>
      </c>
      <c r="O141" s="499">
        <v>20.868</v>
      </c>
      <c r="P141" s="309"/>
      <c r="Z141" s="168"/>
    </row>
    <row r="142" ht="16.5" customHeight="1" outlineLevel="3" spans="2:26">
      <c r="B142" s="470" t="s">
        <v>1812</v>
      </c>
      <c r="C142" s="473" t="s">
        <v>622</v>
      </c>
      <c r="D142" s="507" t="s">
        <v>1813</v>
      </c>
      <c r="E142" s="290" t="s">
        <v>1386</v>
      </c>
      <c r="F142" s="290" t="s">
        <v>1537</v>
      </c>
      <c r="G142" s="510">
        <v>0.2</v>
      </c>
      <c r="H142" s="503" t="s">
        <v>1015</v>
      </c>
      <c r="I142" s="475">
        <v>3000</v>
      </c>
      <c r="J142" s="524">
        <v>540</v>
      </c>
      <c r="K142" s="548">
        <v>0.11</v>
      </c>
      <c r="L142" s="477">
        <v>32.4</v>
      </c>
      <c r="M142" s="524">
        <v>3.564</v>
      </c>
      <c r="N142" s="498">
        <v>35.964</v>
      </c>
      <c r="O142" s="499">
        <v>119.88</v>
      </c>
      <c r="P142" s="309"/>
      <c r="Z142" s="168"/>
    </row>
    <row r="143" ht="16.5" customHeight="1" outlineLevel="2" spans="2:26">
      <c r="B143" s="470" t="s">
        <v>1814</v>
      </c>
      <c r="C143" s="471" t="s">
        <v>778</v>
      </c>
      <c r="D143" s="507" t="s">
        <v>1815</v>
      </c>
      <c r="E143" s="290"/>
      <c r="F143" s="290"/>
      <c r="G143" s="292"/>
      <c r="H143" s="292"/>
      <c r="I143" s="475"/>
      <c r="J143" s="301"/>
      <c r="K143" s="517"/>
      <c r="L143" s="301">
        <v>87.522</v>
      </c>
      <c r="M143" s="301">
        <v>9.62742</v>
      </c>
      <c r="N143" s="498">
        <v>97.14942</v>
      </c>
      <c r="O143" s="499">
        <v>323.8314</v>
      </c>
      <c r="P143" s="309"/>
      <c r="Z143" s="168"/>
    </row>
    <row r="144" ht="16.5" customHeight="1" outlineLevel="3" spans="2:26">
      <c r="B144" s="470" t="s">
        <v>1816</v>
      </c>
      <c r="C144" s="473" t="s">
        <v>622</v>
      </c>
      <c r="D144" s="526" t="s">
        <v>1817</v>
      </c>
      <c r="E144" s="502" t="s">
        <v>774</v>
      </c>
      <c r="F144" s="502" t="s">
        <v>862</v>
      </c>
      <c r="G144" s="502">
        <v>1</v>
      </c>
      <c r="H144" s="292" t="s">
        <v>1015</v>
      </c>
      <c r="I144" s="475">
        <v>3000</v>
      </c>
      <c r="J144" s="551">
        <v>270</v>
      </c>
      <c r="K144" s="548">
        <v>0.11</v>
      </c>
      <c r="L144" s="477">
        <v>81</v>
      </c>
      <c r="M144" s="301">
        <v>8.91</v>
      </c>
      <c r="N144" s="498">
        <v>89.91</v>
      </c>
      <c r="O144" s="499">
        <v>299.7</v>
      </c>
      <c r="P144" s="309"/>
      <c r="Z144" s="168"/>
    </row>
    <row r="145" ht="16.5" customHeight="1" outlineLevel="3" spans="2:26">
      <c r="B145" s="470" t="s">
        <v>1818</v>
      </c>
      <c r="C145" s="473"/>
      <c r="D145" s="526" t="s">
        <v>1819</v>
      </c>
      <c r="E145" s="502" t="s">
        <v>774</v>
      </c>
      <c r="F145" s="290" t="s">
        <v>1537</v>
      </c>
      <c r="G145" s="502">
        <v>1</v>
      </c>
      <c r="H145" s="292" t="s">
        <v>1015</v>
      </c>
      <c r="I145" s="475">
        <v>3000</v>
      </c>
      <c r="J145" s="551">
        <v>18</v>
      </c>
      <c r="K145" s="548">
        <v>0.11</v>
      </c>
      <c r="L145" s="477">
        <v>5.4</v>
      </c>
      <c r="M145" s="301">
        <v>0.594</v>
      </c>
      <c r="N145" s="498">
        <v>5.994</v>
      </c>
      <c r="O145" s="499">
        <v>19.98</v>
      </c>
      <c r="P145" s="309"/>
      <c r="Z145" s="168"/>
    </row>
    <row r="146" ht="16.5" customHeight="1" outlineLevel="3" spans="2:26">
      <c r="B146" s="470" t="s">
        <v>1820</v>
      </c>
      <c r="C146" s="473" t="s">
        <v>622</v>
      </c>
      <c r="D146" s="526" t="s">
        <v>1821</v>
      </c>
      <c r="E146" s="502" t="s">
        <v>1390</v>
      </c>
      <c r="F146" s="502"/>
      <c r="G146" s="502"/>
      <c r="H146" s="524"/>
      <c r="I146" s="475"/>
      <c r="J146" s="551"/>
      <c r="K146" s="548">
        <v>0.17</v>
      </c>
      <c r="L146" s="477">
        <v>0</v>
      </c>
      <c r="M146" s="551">
        <v>0</v>
      </c>
      <c r="N146" s="498">
        <v>0</v>
      </c>
      <c r="O146" s="499">
        <v>0</v>
      </c>
      <c r="P146" s="309"/>
      <c r="Z146" s="168"/>
    </row>
    <row r="147" ht="16.5" customHeight="1" outlineLevel="3" spans="2:26">
      <c r="B147" s="470" t="s">
        <v>1822</v>
      </c>
      <c r="C147" s="473" t="s">
        <v>622</v>
      </c>
      <c r="D147" s="526" t="s">
        <v>1823</v>
      </c>
      <c r="E147" s="290" t="s">
        <v>1073</v>
      </c>
      <c r="F147" s="290" t="s">
        <v>1537</v>
      </c>
      <c r="G147" s="510">
        <v>1</v>
      </c>
      <c r="H147" s="292" t="s">
        <v>1015</v>
      </c>
      <c r="I147" s="475">
        <v>3000</v>
      </c>
      <c r="J147" s="563">
        <v>2.5</v>
      </c>
      <c r="K147" s="548">
        <v>0.11</v>
      </c>
      <c r="L147" s="477">
        <v>0.75</v>
      </c>
      <c r="M147" s="301">
        <v>0.0825</v>
      </c>
      <c r="N147" s="498">
        <v>0.8325</v>
      </c>
      <c r="O147" s="499">
        <v>2.775</v>
      </c>
      <c r="P147" s="309"/>
      <c r="Z147" s="168"/>
    </row>
    <row r="148" ht="16.5" customHeight="1" outlineLevel="3" spans="2:26">
      <c r="B148" s="470" t="s">
        <v>1824</v>
      </c>
      <c r="C148" s="473" t="s">
        <v>622</v>
      </c>
      <c r="D148" s="526" t="s">
        <v>1825</v>
      </c>
      <c r="E148" s="479" t="s">
        <v>1391</v>
      </c>
      <c r="F148" s="479" t="s">
        <v>601</v>
      </c>
      <c r="G148" s="502">
        <v>1</v>
      </c>
      <c r="H148" s="524" t="s">
        <v>1826</v>
      </c>
      <c r="I148" s="475">
        <v>40</v>
      </c>
      <c r="J148" s="551">
        <v>93</v>
      </c>
      <c r="K148" s="548">
        <v>0.11</v>
      </c>
      <c r="L148" s="477">
        <v>0.372</v>
      </c>
      <c r="M148" s="301">
        <v>0.04092</v>
      </c>
      <c r="N148" s="498">
        <v>0.41292</v>
      </c>
      <c r="O148" s="499">
        <v>1.3764</v>
      </c>
      <c r="P148" s="309"/>
      <c r="Z148" s="168"/>
    </row>
    <row r="149" ht="16.5" customHeight="1" outlineLevel="1" spans="2:26">
      <c r="B149" s="121" t="s">
        <v>551</v>
      </c>
      <c r="C149" s="193">
        <v>2</v>
      </c>
      <c r="D149" s="121" t="s">
        <v>552</v>
      </c>
      <c r="E149" s="193"/>
      <c r="F149" s="193"/>
      <c r="G149" s="193"/>
      <c r="H149" s="155"/>
      <c r="I149" s="492"/>
      <c r="J149" s="155"/>
      <c r="K149" s="521"/>
      <c r="L149" s="155">
        <v>0</v>
      </c>
      <c r="M149" s="155">
        <v>0</v>
      </c>
      <c r="N149" s="494">
        <v>0</v>
      </c>
      <c r="O149" s="495">
        <v>0</v>
      </c>
      <c r="P149" s="233"/>
      <c r="Z149" s="168"/>
    </row>
    <row r="150" ht="16.5" customHeight="1" outlineLevel="2" spans="2:26">
      <c r="B150" s="470" t="s">
        <v>1828</v>
      </c>
      <c r="C150" s="471" t="s">
        <v>619</v>
      </c>
      <c r="D150" s="507" t="s">
        <v>1829</v>
      </c>
      <c r="E150" s="290"/>
      <c r="F150" s="290"/>
      <c r="G150" s="292"/>
      <c r="H150" s="292"/>
      <c r="I150" s="475"/>
      <c r="J150" s="301"/>
      <c r="K150" s="517"/>
      <c r="L150" s="301">
        <v>0</v>
      </c>
      <c r="M150" s="301">
        <v>0</v>
      </c>
      <c r="N150" s="498">
        <v>0</v>
      </c>
      <c r="O150" s="499">
        <v>0</v>
      </c>
      <c r="P150" s="309"/>
      <c r="Z150" s="168"/>
    </row>
    <row r="151" ht="16.5" customHeight="1" outlineLevel="3" spans="2:26">
      <c r="B151" s="470" t="s">
        <v>1830</v>
      </c>
      <c r="C151" s="473" t="s">
        <v>622</v>
      </c>
      <c r="D151" s="527" t="s">
        <v>1831</v>
      </c>
      <c r="E151" s="290" t="s">
        <v>1363</v>
      </c>
      <c r="F151" s="290" t="s">
        <v>602</v>
      </c>
      <c r="G151" s="292"/>
      <c r="H151" s="503" t="s">
        <v>1832</v>
      </c>
      <c r="I151" s="475">
        <v>2</v>
      </c>
      <c r="J151" s="301">
        <v>1855</v>
      </c>
      <c r="K151" s="517">
        <v>0.11</v>
      </c>
      <c r="L151" s="477">
        <v>0</v>
      </c>
      <c r="M151" s="301">
        <v>0</v>
      </c>
      <c r="N151" s="498">
        <v>0</v>
      </c>
      <c r="O151" s="499">
        <v>0</v>
      </c>
      <c r="P151" s="309"/>
      <c r="Z151" s="168"/>
    </row>
    <row r="152" ht="16.5" customHeight="1" outlineLevel="3" spans="2:26">
      <c r="B152" s="470" t="s">
        <v>1833</v>
      </c>
      <c r="C152" s="473" t="s">
        <v>622</v>
      </c>
      <c r="D152" s="527" t="s">
        <v>1834</v>
      </c>
      <c r="E152" s="290" t="s">
        <v>1371</v>
      </c>
      <c r="F152" s="290" t="s">
        <v>602</v>
      </c>
      <c r="G152" s="292"/>
      <c r="H152" s="503" t="s">
        <v>1832</v>
      </c>
      <c r="I152" s="475">
        <v>2</v>
      </c>
      <c r="J152" s="301">
        <v>662.5</v>
      </c>
      <c r="K152" s="517">
        <v>0.17</v>
      </c>
      <c r="L152" s="477">
        <v>0</v>
      </c>
      <c r="M152" s="301">
        <v>0</v>
      </c>
      <c r="N152" s="498">
        <v>0</v>
      </c>
      <c r="O152" s="499">
        <v>0</v>
      </c>
      <c r="P152" s="309"/>
      <c r="Z152" s="168"/>
    </row>
    <row r="153" ht="16.5" customHeight="1" outlineLevel="3" spans="2:26">
      <c r="B153" s="470" t="s">
        <v>1835</v>
      </c>
      <c r="C153" s="473" t="s">
        <v>622</v>
      </c>
      <c r="D153" s="527" t="s">
        <v>1836</v>
      </c>
      <c r="E153" s="290" t="s">
        <v>1373</v>
      </c>
      <c r="F153" s="290" t="s">
        <v>602</v>
      </c>
      <c r="G153" s="292"/>
      <c r="H153" s="503" t="s">
        <v>1832</v>
      </c>
      <c r="I153" s="475">
        <v>2</v>
      </c>
      <c r="J153" s="301">
        <v>132.5</v>
      </c>
      <c r="K153" s="517">
        <v>0.17</v>
      </c>
      <c r="L153" s="477">
        <v>0</v>
      </c>
      <c r="M153" s="301">
        <v>0</v>
      </c>
      <c r="N153" s="498">
        <v>0</v>
      </c>
      <c r="O153" s="499">
        <v>0</v>
      </c>
      <c r="P153" s="309"/>
      <c r="Z153" s="168"/>
    </row>
    <row r="154" ht="16.5" customHeight="1" outlineLevel="3" spans="2:26">
      <c r="B154" s="470" t="s">
        <v>1837</v>
      </c>
      <c r="C154" s="473" t="s">
        <v>622</v>
      </c>
      <c r="D154" s="527" t="s">
        <v>1838</v>
      </c>
      <c r="E154" s="290" t="s">
        <v>261</v>
      </c>
      <c r="F154" s="290"/>
      <c r="G154" s="292"/>
      <c r="H154" s="292"/>
      <c r="I154" s="475"/>
      <c r="J154" s="301"/>
      <c r="K154" s="517">
        <v>0.11</v>
      </c>
      <c r="L154" s="477">
        <v>0</v>
      </c>
      <c r="M154" s="301">
        <v>0</v>
      </c>
      <c r="N154" s="498">
        <v>0</v>
      </c>
      <c r="O154" s="499">
        <v>0</v>
      </c>
      <c r="P154" s="309"/>
      <c r="Z154" s="168"/>
    </row>
    <row r="155" ht="16.5" customHeight="1" outlineLevel="3" spans="2:26">
      <c r="B155" s="470" t="s">
        <v>1839</v>
      </c>
      <c r="C155" s="473" t="s">
        <v>622</v>
      </c>
      <c r="D155" s="527" t="s">
        <v>1840</v>
      </c>
      <c r="E155" s="290"/>
      <c r="F155" s="290"/>
      <c r="G155" s="108"/>
      <c r="H155" s="292"/>
      <c r="I155" s="475"/>
      <c r="J155" s="301"/>
      <c r="K155" s="517">
        <v>0.17</v>
      </c>
      <c r="L155" s="477">
        <v>0</v>
      </c>
      <c r="M155" s="301">
        <v>0</v>
      </c>
      <c r="N155" s="498">
        <v>0</v>
      </c>
      <c r="O155" s="499">
        <v>0</v>
      </c>
      <c r="P155" s="523"/>
      <c r="Z155" s="168"/>
    </row>
    <row r="156" ht="16.5" customHeight="1" outlineLevel="3" spans="2:26">
      <c r="B156" s="470" t="s">
        <v>1839</v>
      </c>
      <c r="C156" s="473" t="s">
        <v>622</v>
      </c>
      <c r="D156" s="527" t="s">
        <v>1842</v>
      </c>
      <c r="E156" s="290"/>
      <c r="F156" s="290"/>
      <c r="G156" s="108"/>
      <c r="H156" s="292"/>
      <c r="I156" s="475"/>
      <c r="J156" s="301"/>
      <c r="K156" s="517">
        <v>0.11</v>
      </c>
      <c r="L156" s="477">
        <v>0</v>
      </c>
      <c r="M156" s="301">
        <v>0</v>
      </c>
      <c r="N156" s="498">
        <v>0</v>
      </c>
      <c r="O156" s="499">
        <v>0</v>
      </c>
      <c r="P156" s="523"/>
      <c r="Z156" s="168"/>
    </row>
    <row r="157" ht="16.5" customHeight="1" outlineLevel="2" spans="2:26">
      <c r="B157" s="470" t="s">
        <v>1843</v>
      </c>
      <c r="C157" s="471" t="s">
        <v>657</v>
      </c>
      <c r="D157" s="507" t="s">
        <v>1844</v>
      </c>
      <c r="E157" s="290"/>
      <c r="F157" s="290"/>
      <c r="G157" s="292"/>
      <c r="H157" s="292"/>
      <c r="I157" s="475"/>
      <c r="J157" s="301"/>
      <c r="K157" s="517"/>
      <c r="L157" s="301">
        <v>0</v>
      </c>
      <c r="M157" s="301">
        <v>0</v>
      </c>
      <c r="N157" s="498">
        <v>0</v>
      </c>
      <c r="O157" s="499">
        <v>0</v>
      </c>
      <c r="P157" s="309"/>
      <c r="Z157" s="168"/>
    </row>
    <row r="158" ht="16.5" customHeight="1" outlineLevel="3" spans="2:26">
      <c r="B158" s="470" t="s">
        <v>1845</v>
      </c>
      <c r="C158" s="473" t="s">
        <v>622</v>
      </c>
      <c r="D158" s="527" t="s">
        <v>1846</v>
      </c>
      <c r="E158" s="290" t="s">
        <v>1363</v>
      </c>
      <c r="F158" s="290" t="s">
        <v>602</v>
      </c>
      <c r="G158" s="292"/>
      <c r="H158" s="503" t="s">
        <v>1832</v>
      </c>
      <c r="I158" s="475">
        <v>2</v>
      </c>
      <c r="J158" s="301">
        <v>770</v>
      </c>
      <c r="K158" s="517">
        <v>0.11</v>
      </c>
      <c r="L158" s="477">
        <v>0</v>
      </c>
      <c r="M158" s="301">
        <v>0</v>
      </c>
      <c r="N158" s="498">
        <v>0</v>
      </c>
      <c r="O158" s="499">
        <v>0</v>
      </c>
      <c r="P158" s="309"/>
      <c r="Z158" s="168"/>
    </row>
    <row r="159" ht="16.5" customHeight="1" outlineLevel="3" spans="2:26">
      <c r="B159" s="470" t="s">
        <v>1847</v>
      </c>
      <c r="C159" s="473" t="s">
        <v>622</v>
      </c>
      <c r="D159" s="527" t="s">
        <v>1848</v>
      </c>
      <c r="E159" s="290" t="s">
        <v>1371</v>
      </c>
      <c r="F159" s="290" t="s">
        <v>602</v>
      </c>
      <c r="G159" s="292"/>
      <c r="H159" s="503" t="s">
        <v>1832</v>
      </c>
      <c r="I159" s="475">
        <v>2</v>
      </c>
      <c r="J159" s="301">
        <v>275</v>
      </c>
      <c r="K159" s="517">
        <v>0.17</v>
      </c>
      <c r="L159" s="477">
        <v>0</v>
      </c>
      <c r="M159" s="301">
        <v>0</v>
      </c>
      <c r="N159" s="498">
        <v>0</v>
      </c>
      <c r="O159" s="499">
        <v>0</v>
      </c>
      <c r="P159" s="309"/>
      <c r="Z159" s="168"/>
    </row>
    <row r="160" ht="16.5" customHeight="1" outlineLevel="3" spans="2:26">
      <c r="B160" s="470" t="s">
        <v>1849</v>
      </c>
      <c r="C160" s="473" t="s">
        <v>622</v>
      </c>
      <c r="D160" s="527" t="s">
        <v>1850</v>
      </c>
      <c r="E160" s="290" t="s">
        <v>1373</v>
      </c>
      <c r="F160" s="290" t="s">
        <v>602</v>
      </c>
      <c r="G160" s="292"/>
      <c r="H160" s="503" t="s">
        <v>1832</v>
      </c>
      <c r="I160" s="475">
        <v>2</v>
      </c>
      <c r="J160" s="301">
        <v>55</v>
      </c>
      <c r="K160" s="517">
        <v>0.17</v>
      </c>
      <c r="L160" s="477">
        <v>0</v>
      </c>
      <c r="M160" s="301">
        <v>0</v>
      </c>
      <c r="N160" s="498">
        <v>0</v>
      </c>
      <c r="O160" s="499">
        <v>0</v>
      </c>
      <c r="P160" s="309"/>
      <c r="Z160" s="168"/>
    </row>
    <row r="161" ht="16.5" customHeight="1" outlineLevel="3" spans="2:26">
      <c r="B161" s="470" t="s">
        <v>1851</v>
      </c>
      <c r="C161" s="473" t="s">
        <v>622</v>
      </c>
      <c r="D161" s="527" t="s">
        <v>1852</v>
      </c>
      <c r="E161" s="290" t="s">
        <v>261</v>
      </c>
      <c r="F161" s="290"/>
      <c r="G161" s="292"/>
      <c r="H161" s="292"/>
      <c r="I161" s="475"/>
      <c r="J161" s="301"/>
      <c r="K161" s="517">
        <v>0.11</v>
      </c>
      <c r="L161" s="477">
        <v>0</v>
      </c>
      <c r="M161" s="301">
        <v>0</v>
      </c>
      <c r="N161" s="498">
        <v>0</v>
      </c>
      <c r="O161" s="499">
        <v>0</v>
      </c>
      <c r="P161" s="309"/>
      <c r="Z161" s="168"/>
    </row>
    <row r="162" ht="16.5" customHeight="1" outlineLevel="3" spans="2:26">
      <c r="B162" s="470" t="s">
        <v>1853</v>
      </c>
      <c r="C162" s="473" t="s">
        <v>622</v>
      </c>
      <c r="D162" s="527" t="s">
        <v>1854</v>
      </c>
      <c r="E162" s="479"/>
      <c r="F162" s="479"/>
      <c r="G162" s="108"/>
      <c r="H162" s="292"/>
      <c r="I162" s="475"/>
      <c r="J162" s="301"/>
      <c r="K162" s="517">
        <v>0.17</v>
      </c>
      <c r="L162" s="477">
        <v>0</v>
      </c>
      <c r="M162" s="301">
        <v>0</v>
      </c>
      <c r="N162" s="498">
        <v>0</v>
      </c>
      <c r="O162" s="499">
        <v>0</v>
      </c>
      <c r="P162" s="523"/>
      <c r="Z162" s="168"/>
    </row>
    <row r="163" ht="16.5" customHeight="1" outlineLevel="2" collapsed="1" spans="2:26">
      <c r="B163" s="470" t="s">
        <v>1855</v>
      </c>
      <c r="C163" s="471" t="s">
        <v>762</v>
      </c>
      <c r="D163" s="507" t="s">
        <v>1856</v>
      </c>
      <c r="E163" s="290" t="s">
        <v>1363</v>
      </c>
      <c r="F163" s="290" t="s">
        <v>1537</v>
      </c>
      <c r="G163" s="291"/>
      <c r="H163" s="292" t="s">
        <v>1015</v>
      </c>
      <c r="I163" s="475">
        <v>3000</v>
      </c>
      <c r="J163" s="301">
        <v>1500</v>
      </c>
      <c r="K163" s="517">
        <v>0.11</v>
      </c>
      <c r="L163" s="477">
        <v>0</v>
      </c>
      <c r="M163" s="301">
        <v>0</v>
      </c>
      <c r="N163" s="498">
        <v>0</v>
      </c>
      <c r="O163" s="499">
        <v>0</v>
      </c>
      <c r="P163" s="309"/>
      <c r="Z163" s="168"/>
    </row>
    <row r="164" ht="16.5" customHeight="1" outlineLevel="2" spans="2:26">
      <c r="B164" s="470" t="s">
        <v>1857</v>
      </c>
      <c r="C164" s="471" t="s">
        <v>778</v>
      </c>
      <c r="D164" s="507" t="s">
        <v>1858</v>
      </c>
      <c r="E164" s="290" t="s">
        <v>1363</v>
      </c>
      <c r="F164" s="290" t="s">
        <v>602</v>
      </c>
      <c r="G164" s="292"/>
      <c r="H164" s="503" t="s">
        <v>1832</v>
      </c>
      <c r="I164" s="475">
        <v>2</v>
      </c>
      <c r="J164" s="301">
        <v>505</v>
      </c>
      <c r="K164" s="517">
        <v>0.11</v>
      </c>
      <c r="L164" s="477">
        <v>0</v>
      </c>
      <c r="M164" s="301">
        <v>0</v>
      </c>
      <c r="N164" s="498">
        <v>0</v>
      </c>
      <c r="O164" s="499">
        <v>0</v>
      </c>
      <c r="P164" s="309"/>
      <c r="Z164" s="168"/>
    </row>
    <row r="165" ht="16.5" customHeight="1" outlineLevel="2" spans="2:26">
      <c r="B165" s="470" t="s">
        <v>1859</v>
      </c>
      <c r="C165" s="471" t="s">
        <v>781</v>
      </c>
      <c r="D165" s="507" t="s">
        <v>1860</v>
      </c>
      <c r="E165" s="479" t="s">
        <v>774</v>
      </c>
      <c r="F165" s="479" t="s">
        <v>1792</v>
      </c>
      <c r="G165" s="525"/>
      <c r="H165" s="503" t="s">
        <v>1861</v>
      </c>
      <c r="I165" s="475">
        <v>3</v>
      </c>
      <c r="J165" s="301">
        <v>156.37</v>
      </c>
      <c r="K165" s="517">
        <v>0.11</v>
      </c>
      <c r="L165" s="477">
        <v>0</v>
      </c>
      <c r="M165" s="301">
        <v>0</v>
      </c>
      <c r="N165" s="498">
        <v>0</v>
      </c>
      <c r="O165" s="499">
        <v>0</v>
      </c>
      <c r="P165" s="309"/>
      <c r="Z165" s="168"/>
    </row>
    <row r="166" ht="16.5" customHeight="1" outlineLevel="2" spans="2:26">
      <c r="B166" s="470" t="s">
        <v>1862</v>
      </c>
      <c r="C166" s="471" t="s">
        <v>788</v>
      </c>
      <c r="D166" s="507" t="s">
        <v>1863</v>
      </c>
      <c r="E166" s="290"/>
      <c r="F166" s="290"/>
      <c r="G166" s="292"/>
      <c r="H166" s="292"/>
      <c r="I166" s="475"/>
      <c r="J166" s="301"/>
      <c r="K166" s="517"/>
      <c r="L166" s="301">
        <v>0</v>
      </c>
      <c r="M166" s="301">
        <v>0</v>
      </c>
      <c r="N166" s="498">
        <v>0</v>
      </c>
      <c r="O166" s="499">
        <v>0</v>
      </c>
      <c r="P166" s="309"/>
      <c r="Z166" s="168"/>
    </row>
    <row r="167" ht="16.5" customHeight="1" outlineLevel="3" spans="2:26">
      <c r="B167" s="470" t="s">
        <v>1864</v>
      </c>
      <c r="C167" s="473" t="s">
        <v>622</v>
      </c>
      <c r="D167" s="527" t="s">
        <v>1865</v>
      </c>
      <c r="E167" s="479" t="s">
        <v>1363</v>
      </c>
      <c r="F167" s="479" t="s">
        <v>1866</v>
      </c>
      <c r="G167" s="525"/>
      <c r="H167" s="503" t="s">
        <v>1861</v>
      </c>
      <c r="I167" s="475">
        <v>1</v>
      </c>
      <c r="J167" s="301">
        <v>611.8</v>
      </c>
      <c r="K167" s="517">
        <v>0.11</v>
      </c>
      <c r="L167" s="477">
        <v>0</v>
      </c>
      <c r="M167" s="301">
        <v>0</v>
      </c>
      <c r="N167" s="498">
        <v>0</v>
      </c>
      <c r="O167" s="499">
        <v>0</v>
      </c>
      <c r="P167" s="523"/>
      <c r="Z167" s="168"/>
    </row>
    <row r="168" ht="16.5" customHeight="1" outlineLevel="3" spans="2:26">
      <c r="B168" s="470" t="s">
        <v>1867</v>
      </c>
      <c r="C168" s="473" t="s">
        <v>622</v>
      </c>
      <c r="D168" s="527" t="s">
        <v>1868</v>
      </c>
      <c r="E168" s="479" t="s">
        <v>1371</v>
      </c>
      <c r="F168" s="479" t="s">
        <v>1866</v>
      </c>
      <c r="G168" s="525"/>
      <c r="H168" s="503" t="s">
        <v>1861</v>
      </c>
      <c r="I168" s="475">
        <v>1</v>
      </c>
      <c r="J168" s="301">
        <v>174.8</v>
      </c>
      <c r="K168" s="517">
        <v>0.17</v>
      </c>
      <c r="L168" s="477">
        <v>0</v>
      </c>
      <c r="M168" s="301">
        <v>0</v>
      </c>
      <c r="N168" s="498">
        <v>0</v>
      </c>
      <c r="O168" s="499">
        <v>0</v>
      </c>
      <c r="P168" s="523"/>
      <c r="Z168" s="168"/>
    </row>
    <row r="169" ht="16.5" customHeight="1" outlineLevel="3" spans="2:26">
      <c r="B169" s="470" t="s">
        <v>1869</v>
      </c>
      <c r="C169" s="473" t="s">
        <v>622</v>
      </c>
      <c r="D169" s="527" t="s">
        <v>1870</v>
      </c>
      <c r="E169" s="479" t="s">
        <v>1373</v>
      </c>
      <c r="F169" s="479" t="s">
        <v>1866</v>
      </c>
      <c r="G169" s="525"/>
      <c r="H169" s="503" t="s">
        <v>1861</v>
      </c>
      <c r="I169" s="475">
        <v>1</v>
      </c>
      <c r="J169" s="301">
        <v>17.48</v>
      </c>
      <c r="K169" s="517">
        <v>0.17</v>
      </c>
      <c r="L169" s="477">
        <v>0</v>
      </c>
      <c r="M169" s="301">
        <v>0</v>
      </c>
      <c r="N169" s="498">
        <v>0</v>
      </c>
      <c r="O169" s="499">
        <v>0</v>
      </c>
      <c r="P169" s="523"/>
      <c r="Z169" s="168"/>
    </row>
    <row r="170" ht="16.5" customHeight="1" outlineLevel="3" spans="2:26">
      <c r="B170" s="470" t="s">
        <v>1871</v>
      </c>
      <c r="C170" s="473" t="s">
        <v>622</v>
      </c>
      <c r="D170" s="527" t="s">
        <v>1872</v>
      </c>
      <c r="E170" s="65" t="s">
        <v>1372</v>
      </c>
      <c r="F170" s="65"/>
      <c r="G170" s="525"/>
      <c r="H170" s="503" t="s">
        <v>1861</v>
      </c>
      <c r="I170" s="475">
        <v>1</v>
      </c>
      <c r="J170" s="301">
        <v>69.92</v>
      </c>
      <c r="K170" s="517">
        <v>0.17</v>
      </c>
      <c r="L170" s="477">
        <v>0</v>
      </c>
      <c r="M170" s="301">
        <v>0</v>
      </c>
      <c r="N170" s="498">
        <v>0</v>
      </c>
      <c r="O170" s="499">
        <v>0</v>
      </c>
      <c r="P170" s="523"/>
      <c r="Z170" s="168"/>
    </row>
    <row r="171" ht="16.5" customHeight="1" outlineLevel="2" collapsed="1" spans="2:26">
      <c r="B171" s="470" t="s">
        <v>1873</v>
      </c>
      <c r="C171" s="471" t="s">
        <v>791</v>
      </c>
      <c r="D171" s="507" t="s">
        <v>1874</v>
      </c>
      <c r="E171" s="290"/>
      <c r="F171" s="290"/>
      <c r="G171" s="292"/>
      <c r="H171" s="292"/>
      <c r="I171" s="475"/>
      <c r="J171" s="301"/>
      <c r="K171" s="517">
        <v>0.11</v>
      </c>
      <c r="L171" s="477">
        <v>0</v>
      </c>
      <c r="M171" s="301">
        <v>0</v>
      </c>
      <c r="N171" s="498">
        <v>0</v>
      </c>
      <c r="O171" s="499">
        <v>0</v>
      </c>
      <c r="P171" s="309"/>
      <c r="Z171" s="168"/>
    </row>
    <row r="172" ht="16.5" customHeight="1" outlineLevel="2" spans="2:26">
      <c r="B172" s="470" t="s">
        <v>1875</v>
      </c>
      <c r="C172" s="471" t="s">
        <v>794</v>
      </c>
      <c r="D172" s="507" t="s">
        <v>1876</v>
      </c>
      <c r="E172" s="290"/>
      <c r="F172" s="290"/>
      <c r="G172" s="292"/>
      <c r="H172" s="292"/>
      <c r="I172" s="475"/>
      <c r="J172" s="301"/>
      <c r="K172" s="517">
        <v>0.11</v>
      </c>
      <c r="L172" s="477">
        <v>0</v>
      </c>
      <c r="M172" s="301">
        <v>0</v>
      </c>
      <c r="N172" s="498">
        <v>0</v>
      </c>
      <c r="O172" s="499">
        <v>0</v>
      </c>
      <c r="P172" s="309"/>
      <c r="Z172" s="168"/>
    </row>
    <row r="173" ht="16.5" customHeight="1" outlineLevel="2" spans="2:26">
      <c r="B173" s="470" t="s">
        <v>1877</v>
      </c>
      <c r="C173" s="471" t="s">
        <v>797</v>
      </c>
      <c r="D173" s="507" t="s">
        <v>1878</v>
      </c>
      <c r="E173" s="290"/>
      <c r="F173" s="290"/>
      <c r="G173" s="292"/>
      <c r="H173" s="292"/>
      <c r="I173" s="475"/>
      <c r="J173" s="301"/>
      <c r="K173" s="517">
        <v>0.11</v>
      </c>
      <c r="L173" s="477">
        <v>0</v>
      </c>
      <c r="M173" s="301">
        <v>0</v>
      </c>
      <c r="N173" s="498">
        <v>0</v>
      </c>
      <c r="O173" s="499">
        <v>0</v>
      </c>
      <c r="P173" s="309"/>
      <c r="Z173" s="168"/>
    </row>
    <row r="174" ht="16.5" customHeight="1" outlineLevel="2" spans="2:26">
      <c r="B174" s="470" t="s">
        <v>1879</v>
      </c>
      <c r="C174" s="471" t="s">
        <v>1519</v>
      </c>
      <c r="D174" s="507" t="s">
        <v>1880</v>
      </c>
      <c r="E174" s="290"/>
      <c r="F174" s="290"/>
      <c r="G174" s="292"/>
      <c r="H174" s="292"/>
      <c r="I174" s="475"/>
      <c r="J174" s="301"/>
      <c r="K174" s="517">
        <v>0.17</v>
      </c>
      <c r="L174" s="477">
        <v>0</v>
      </c>
      <c r="M174" s="301">
        <v>0</v>
      </c>
      <c r="N174" s="498">
        <v>0</v>
      </c>
      <c r="O174" s="499">
        <v>0</v>
      </c>
      <c r="P174" s="309"/>
      <c r="Z174" s="168"/>
    </row>
    <row r="175" s="456" customFormat="1" ht="16.5" customHeight="1" outlineLevel="1" spans="2:16">
      <c r="B175" s="529" t="s">
        <v>553</v>
      </c>
      <c r="C175" s="530">
        <v>3</v>
      </c>
      <c r="D175" s="529" t="s">
        <v>554</v>
      </c>
      <c r="E175" s="530"/>
      <c r="F175" s="530"/>
      <c r="G175" s="530"/>
      <c r="H175" s="531"/>
      <c r="I175" s="533"/>
      <c r="J175" s="531"/>
      <c r="K175" s="534"/>
      <c r="L175" s="531">
        <v>9.136</v>
      </c>
      <c r="M175" s="531">
        <v>1.00496</v>
      </c>
      <c r="N175" s="552">
        <v>10.14096</v>
      </c>
      <c r="O175" s="535">
        <v>33.8032</v>
      </c>
      <c r="P175" s="536"/>
    </row>
    <row r="176" ht="16.5" customHeight="1" outlineLevel="2" spans="2:26">
      <c r="B176" s="470" t="s">
        <v>1881</v>
      </c>
      <c r="C176" s="471" t="s">
        <v>619</v>
      </c>
      <c r="D176" s="507" t="s">
        <v>1882</v>
      </c>
      <c r="E176" s="479"/>
      <c r="F176" s="479"/>
      <c r="G176" s="292"/>
      <c r="H176" s="292"/>
      <c r="I176" s="475"/>
      <c r="J176" s="301"/>
      <c r="K176" s="517"/>
      <c r="L176" s="301">
        <v>9.136</v>
      </c>
      <c r="M176" s="301">
        <v>1.00496</v>
      </c>
      <c r="N176" s="498">
        <v>10.14096</v>
      </c>
      <c r="O176" s="499">
        <v>33.8032</v>
      </c>
      <c r="P176" s="309"/>
      <c r="Z176" s="168"/>
    </row>
    <row r="177" ht="16.5" customHeight="1" outlineLevel="3" spans="2:26">
      <c r="B177" s="470" t="s">
        <v>1883</v>
      </c>
      <c r="C177" s="473" t="s">
        <v>622</v>
      </c>
      <c r="D177" s="507" t="s">
        <v>1884</v>
      </c>
      <c r="E177" s="479" t="s">
        <v>993</v>
      </c>
      <c r="F177" s="479"/>
      <c r="G177" s="292">
        <v>1</v>
      </c>
      <c r="H177" s="292" t="s">
        <v>1668</v>
      </c>
      <c r="I177" s="475">
        <v>40</v>
      </c>
      <c r="J177" s="301">
        <v>1000</v>
      </c>
      <c r="K177" s="517">
        <v>0.11</v>
      </c>
      <c r="L177" s="477">
        <v>4</v>
      </c>
      <c r="M177" s="301">
        <v>0.44</v>
      </c>
      <c r="N177" s="498">
        <v>4.44</v>
      </c>
      <c r="O177" s="499">
        <v>14.8</v>
      </c>
      <c r="P177" s="523"/>
      <c r="Z177" s="168"/>
    </row>
    <row r="178" ht="16.5" customHeight="1" outlineLevel="3" spans="2:26">
      <c r="B178" s="470" t="s">
        <v>1885</v>
      </c>
      <c r="C178" s="473" t="s">
        <v>622</v>
      </c>
      <c r="D178" s="507" t="s">
        <v>1886</v>
      </c>
      <c r="E178" s="479" t="s">
        <v>1392</v>
      </c>
      <c r="F178" s="479" t="s">
        <v>601</v>
      </c>
      <c r="G178" s="525"/>
      <c r="H178" s="292" t="s">
        <v>655</v>
      </c>
      <c r="I178" s="475">
        <v>3000</v>
      </c>
      <c r="J178" s="291">
        <v>12.61</v>
      </c>
      <c r="K178" s="517">
        <v>0.11</v>
      </c>
      <c r="L178" s="477">
        <v>0</v>
      </c>
      <c r="M178" s="292">
        <v>0</v>
      </c>
      <c r="N178" s="498">
        <v>0</v>
      </c>
      <c r="O178" s="499">
        <v>0</v>
      </c>
      <c r="P178" s="523"/>
      <c r="Z178" s="168"/>
    </row>
    <row r="179" ht="16.5" customHeight="1" outlineLevel="3" spans="2:26">
      <c r="B179" s="470" t="s">
        <v>1887</v>
      </c>
      <c r="C179" s="473" t="s">
        <v>622</v>
      </c>
      <c r="D179" s="507" t="s">
        <v>1888</v>
      </c>
      <c r="E179" s="479" t="s">
        <v>1393</v>
      </c>
      <c r="F179" s="290" t="s">
        <v>1537</v>
      </c>
      <c r="G179" s="525">
        <v>1</v>
      </c>
      <c r="H179" s="292" t="s">
        <v>655</v>
      </c>
      <c r="I179" s="475">
        <v>3000</v>
      </c>
      <c r="J179" s="291">
        <v>17.12</v>
      </c>
      <c r="K179" s="517">
        <v>0.11</v>
      </c>
      <c r="L179" s="477">
        <v>5.136</v>
      </c>
      <c r="M179" s="292">
        <v>0.56496</v>
      </c>
      <c r="N179" s="498">
        <v>5.70096</v>
      </c>
      <c r="O179" s="499">
        <v>19.0032</v>
      </c>
      <c r="P179" s="309"/>
      <c r="Z179" s="168"/>
    </row>
    <row r="180" ht="16.5" customHeight="1" outlineLevel="3" spans="2:26">
      <c r="B180" s="470" t="s">
        <v>1889</v>
      </c>
      <c r="C180" s="473" t="s">
        <v>622</v>
      </c>
      <c r="D180" s="507" t="s">
        <v>1890</v>
      </c>
      <c r="E180" s="290"/>
      <c r="F180" s="290"/>
      <c r="G180" s="532"/>
      <c r="H180" s="292"/>
      <c r="I180" s="475"/>
      <c r="J180" s="292"/>
      <c r="K180" s="517">
        <v>0.11</v>
      </c>
      <c r="L180" s="477">
        <v>0</v>
      </c>
      <c r="M180" s="292">
        <v>0</v>
      </c>
      <c r="N180" s="498">
        <v>0</v>
      </c>
      <c r="O180" s="499">
        <v>0</v>
      </c>
      <c r="P180" s="309"/>
      <c r="Z180" s="168"/>
    </row>
    <row r="181" ht="16.5" customHeight="1" outlineLevel="3" spans="2:26">
      <c r="B181" s="470" t="s">
        <v>1891</v>
      </c>
      <c r="C181" s="473" t="s">
        <v>622</v>
      </c>
      <c r="D181" s="507" t="s">
        <v>1892</v>
      </c>
      <c r="E181" s="479" t="s">
        <v>993</v>
      </c>
      <c r="F181" s="479" t="s">
        <v>601</v>
      </c>
      <c r="G181" s="525"/>
      <c r="H181" s="292" t="s">
        <v>1668</v>
      </c>
      <c r="I181" s="475">
        <v>40</v>
      </c>
      <c r="J181" s="292">
        <v>600</v>
      </c>
      <c r="K181" s="517">
        <v>0.11</v>
      </c>
      <c r="L181" s="477">
        <v>0</v>
      </c>
      <c r="M181" s="292">
        <v>0</v>
      </c>
      <c r="N181" s="498">
        <v>0</v>
      </c>
      <c r="O181" s="499">
        <v>0</v>
      </c>
      <c r="P181" s="309"/>
      <c r="Z181" s="168"/>
    </row>
    <row r="182" ht="16.5" customHeight="1" outlineLevel="3" spans="2:26">
      <c r="B182" s="470" t="s">
        <v>1893</v>
      </c>
      <c r="C182" s="473" t="s">
        <v>622</v>
      </c>
      <c r="D182" s="507" t="s">
        <v>1894</v>
      </c>
      <c r="E182" s="479" t="s">
        <v>1394</v>
      </c>
      <c r="F182" s="479" t="s">
        <v>601</v>
      </c>
      <c r="G182" s="525"/>
      <c r="H182" s="292" t="s">
        <v>1668</v>
      </c>
      <c r="I182" s="475">
        <v>40</v>
      </c>
      <c r="J182" s="292">
        <v>400</v>
      </c>
      <c r="K182" s="517">
        <v>0.11</v>
      </c>
      <c r="L182" s="477">
        <v>0</v>
      </c>
      <c r="M182" s="292">
        <v>0</v>
      </c>
      <c r="N182" s="498">
        <v>0</v>
      </c>
      <c r="O182" s="499">
        <v>0</v>
      </c>
      <c r="P182" s="309"/>
      <c r="Z182" s="168"/>
    </row>
    <row r="183" ht="16.5" customHeight="1" outlineLevel="3" spans="2:26">
      <c r="B183" s="470" t="s">
        <v>1895</v>
      </c>
      <c r="C183" s="473" t="s">
        <v>622</v>
      </c>
      <c r="D183" s="507" t="s">
        <v>1896</v>
      </c>
      <c r="E183" s="290" t="s">
        <v>1392</v>
      </c>
      <c r="F183" s="290"/>
      <c r="G183" s="532"/>
      <c r="H183" s="292"/>
      <c r="I183" s="475"/>
      <c r="J183" s="292"/>
      <c r="K183" s="517">
        <v>0.11</v>
      </c>
      <c r="L183" s="477">
        <v>0</v>
      </c>
      <c r="M183" s="292">
        <v>0</v>
      </c>
      <c r="N183" s="498">
        <v>0</v>
      </c>
      <c r="O183" s="499">
        <v>0</v>
      </c>
      <c r="P183" s="309"/>
      <c r="Z183" s="168"/>
    </row>
    <row r="184" ht="16.5" customHeight="1" outlineLevel="3" spans="1:26">
      <c r="A184" s="456"/>
      <c r="B184" s="470" t="s">
        <v>1897</v>
      </c>
      <c r="C184" s="473" t="s">
        <v>622</v>
      </c>
      <c r="D184" s="507" t="s">
        <v>1898</v>
      </c>
      <c r="E184" s="290"/>
      <c r="F184" s="290"/>
      <c r="G184" s="532"/>
      <c r="H184" s="292"/>
      <c r="I184" s="475"/>
      <c r="J184" s="292"/>
      <c r="K184" s="517">
        <v>0.11</v>
      </c>
      <c r="L184" s="477">
        <v>0</v>
      </c>
      <c r="M184" s="292">
        <v>0</v>
      </c>
      <c r="N184" s="498">
        <v>0</v>
      </c>
      <c r="O184" s="499">
        <v>0</v>
      </c>
      <c r="P184" s="309"/>
      <c r="Z184" s="168"/>
    </row>
    <row r="185" s="457" customFormat="1" ht="16.5" customHeight="1" outlineLevel="2" spans="1:16">
      <c r="A185" s="456"/>
      <c r="B185" s="470" t="s">
        <v>1899</v>
      </c>
      <c r="C185" s="471" t="s">
        <v>657</v>
      </c>
      <c r="D185" s="507" t="s">
        <v>1900</v>
      </c>
      <c r="E185" s="366"/>
      <c r="F185" s="366"/>
      <c r="G185" s="366"/>
      <c r="H185" s="313"/>
      <c r="I185" s="518"/>
      <c r="J185" s="313"/>
      <c r="K185" s="537">
        <v>0.11</v>
      </c>
      <c r="L185" s="477">
        <v>0</v>
      </c>
      <c r="M185" s="313">
        <v>0</v>
      </c>
      <c r="N185" s="498">
        <v>0</v>
      </c>
      <c r="O185" s="499">
        <v>0</v>
      </c>
      <c r="P185" s="309"/>
    </row>
    <row r="186" s="457" customFormat="1" ht="16.5" customHeight="1" outlineLevel="2" spans="1:16">
      <c r="A186" s="456"/>
      <c r="B186" s="470" t="s">
        <v>1901</v>
      </c>
      <c r="C186" s="471" t="s">
        <v>762</v>
      </c>
      <c r="D186" s="507" t="s">
        <v>1902</v>
      </c>
      <c r="E186" s="366"/>
      <c r="F186" s="366"/>
      <c r="G186" s="366"/>
      <c r="H186" s="313"/>
      <c r="I186" s="518"/>
      <c r="J186" s="313"/>
      <c r="K186" s="537">
        <v>0.11</v>
      </c>
      <c r="L186" s="477">
        <v>0</v>
      </c>
      <c r="M186" s="313">
        <v>0</v>
      </c>
      <c r="N186" s="498">
        <v>0</v>
      </c>
      <c r="O186" s="499">
        <v>0</v>
      </c>
      <c r="P186" s="309"/>
    </row>
    <row r="187" ht="16.5" customHeight="1" outlineLevel="1" spans="2:26">
      <c r="B187" s="121" t="s">
        <v>555</v>
      </c>
      <c r="C187" s="193">
        <v>4</v>
      </c>
      <c r="D187" s="121" t="s">
        <v>556</v>
      </c>
      <c r="E187" s="193"/>
      <c r="F187" s="193"/>
      <c r="G187" s="193"/>
      <c r="H187" s="155"/>
      <c r="I187" s="492"/>
      <c r="J187" s="492"/>
      <c r="K187" s="521"/>
      <c r="L187" s="155">
        <v>0</v>
      </c>
      <c r="M187" s="155">
        <v>0</v>
      </c>
      <c r="N187" s="155">
        <v>0</v>
      </c>
      <c r="O187" s="495">
        <v>0</v>
      </c>
      <c r="P187" s="233"/>
      <c r="Z187" s="168"/>
    </row>
    <row r="188" ht="16.5" customHeight="1" outlineLevel="2" spans="2:26">
      <c r="B188" s="470" t="s">
        <v>1903</v>
      </c>
      <c r="C188" s="471" t="s">
        <v>619</v>
      </c>
      <c r="D188" s="507" t="s">
        <v>1904</v>
      </c>
      <c r="E188" s="479" t="s">
        <v>1396</v>
      </c>
      <c r="F188" s="479" t="s">
        <v>601</v>
      </c>
      <c r="G188" s="525">
        <v>0</v>
      </c>
      <c r="H188" s="292" t="s">
        <v>1681</v>
      </c>
      <c r="I188" s="475"/>
      <c r="J188" s="475">
        <v>2000</v>
      </c>
      <c r="K188" s="517">
        <v>0.11</v>
      </c>
      <c r="L188" s="477">
        <v>0</v>
      </c>
      <c r="M188" s="477">
        <v>0</v>
      </c>
      <c r="N188" s="498">
        <v>0</v>
      </c>
      <c r="O188" s="499">
        <v>0</v>
      </c>
      <c r="P188" s="309"/>
      <c r="Z188" s="168"/>
    </row>
    <row r="189" ht="16.5" customHeight="1" outlineLevel="2" spans="2:26">
      <c r="B189" s="470" t="s">
        <v>1905</v>
      </c>
      <c r="C189" s="471" t="s">
        <v>657</v>
      </c>
      <c r="D189" s="507" t="s">
        <v>1906</v>
      </c>
      <c r="E189" s="290"/>
      <c r="F189" s="290"/>
      <c r="G189" s="365"/>
      <c r="H189" s="292"/>
      <c r="I189" s="475"/>
      <c r="J189" s="475"/>
      <c r="K189" s="517">
        <v>0.11</v>
      </c>
      <c r="L189" s="477">
        <v>0</v>
      </c>
      <c r="M189" s="477">
        <v>0</v>
      </c>
      <c r="N189" s="498">
        <v>0</v>
      </c>
      <c r="O189" s="499">
        <v>0</v>
      </c>
      <c r="P189" s="309"/>
      <c r="Z189" s="168"/>
    </row>
    <row r="190" ht="16.5" customHeight="1" outlineLevel="2" spans="2:26">
      <c r="B190" s="470" t="s">
        <v>1907</v>
      </c>
      <c r="C190" s="471" t="s">
        <v>762</v>
      </c>
      <c r="D190" s="507" t="s">
        <v>1908</v>
      </c>
      <c r="E190" s="290"/>
      <c r="F190" s="290"/>
      <c r="G190" s="292"/>
      <c r="H190" s="292"/>
      <c r="I190" s="475"/>
      <c r="J190" s="475"/>
      <c r="K190" s="517">
        <v>0.11</v>
      </c>
      <c r="L190" s="477">
        <v>0</v>
      </c>
      <c r="M190" s="477">
        <v>0</v>
      </c>
      <c r="N190" s="498">
        <v>0</v>
      </c>
      <c r="O190" s="499">
        <v>0</v>
      </c>
      <c r="P190" s="309"/>
      <c r="Z190" s="168"/>
    </row>
    <row r="191" ht="16.5" customHeight="1" outlineLevel="2" spans="2:26">
      <c r="B191" s="470" t="s">
        <v>1909</v>
      </c>
      <c r="C191" s="471" t="s">
        <v>778</v>
      </c>
      <c r="D191" s="507" t="s">
        <v>1910</v>
      </c>
      <c r="E191" s="290"/>
      <c r="F191" s="290"/>
      <c r="G191" s="292"/>
      <c r="H191" s="292"/>
      <c r="I191" s="475"/>
      <c r="J191" s="475"/>
      <c r="K191" s="517">
        <v>0.11</v>
      </c>
      <c r="L191" s="477">
        <v>0</v>
      </c>
      <c r="M191" s="477">
        <v>0</v>
      </c>
      <c r="N191" s="498">
        <v>0</v>
      </c>
      <c r="O191" s="499">
        <v>0</v>
      </c>
      <c r="P191" s="309"/>
      <c r="Z191" s="168"/>
    </row>
    <row r="192" ht="16.5" customHeight="1" outlineLevel="2" spans="2:26">
      <c r="B192" s="470" t="s">
        <v>1911</v>
      </c>
      <c r="C192" s="471" t="s">
        <v>781</v>
      </c>
      <c r="D192" s="507" t="s">
        <v>1912</v>
      </c>
      <c r="E192" s="290" t="s">
        <v>1395</v>
      </c>
      <c r="F192" s="290"/>
      <c r="G192" s="292"/>
      <c r="H192" s="292"/>
      <c r="I192" s="475"/>
      <c r="J192" s="475"/>
      <c r="K192" s="517">
        <v>0.11</v>
      </c>
      <c r="L192" s="477">
        <v>0</v>
      </c>
      <c r="M192" s="477">
        <v>0</v>
      </c>
      <c r="N192" s="498">
        <v>0</v>
      </c>
      <c r="O192" s="499">
        <v>0</v>
      </c>
      <c r="P192" s="309"/>
      <c r="Z192" s="168"/>
    </row>
    <row r="193" ht="16.5" customHeight="1" outlineLevel="2" spans="2:26">
      <c r="B193" s="470" t="s">
        <v>1913</v>
      </c>
      <c r="C193" s="471" t="s">
        <v>788</v>
      </c>
      <c r="D193" s="507" t="s">
        <v>1914</v>
      </c>
      <c r="E193" s="290" t="s">
        <v>1395</v>
      </c>
      <c r="F193" s="290"/>
      <c r="G193" s="292"/>
      <c r="H193" s="292"/>
      <c r="I193" s="475"/>
      <c r="J193" s="475"/>
      <c r="K193" s="517">
        <v>0.11</v>
      </c>
      <c r="L193" s="477">
        <v>0</v>
      </c>
      <c r="M193" s="477">
        <v>0</v>
      </c>
      <c r="N193" s="498">
        <v>0</v>
      </c>
      <c r="O193" s="499">
        <v>0</v>
      </c>
      <c r="P193" s="309"/>
      <c r="Z193" s="168"/>
    </row>
    <row r="194" ht="16.5" customHeight="1" outlineLevel="2" spans="2:26">
      <c r="B194" s="470" t="s">
        <v>1915</v>
      </c>
      <c r="C194" s="471" t="s">
        <v>791</v>
      </c>
      <c r="D194" s="507" t="s">
        <v>1916</v>
      </c>
      <c r="E194" s="290" t="s">
        <v>1395</v>
      </c>
      <c r="F194" s="290"/>
      <c r="G194" s="292"/>
      <c r="H194" s="292"/>
      <c r="I194" s="475"/>
      <c r="J194" s="475"/>
      <c r="K194" s="517">
        <v>0.11</v>
      </c>
      <c r="L194" s="477">
        <v>0</v>
      </c>
      <c r="M194" s="477">
        <v>0</v>
      </c>
      <c r="N194" s="498">
        <v>0</v>
      </c>
      <c r="O194" s="499">
        <v>0</v>
      </c>
      <c r="P194" s="309"/>
      <c r="Z194" s="168"/>
    </row>
    <row r="195" ht="16.5" customHeight="1" outlineLevel="2" spans="2:26">
      <c r="B195" s="470" t="s">
        <v>1917</v>
      </c>
      <c r="C195" s="471" t="s">
        <v>794</v>
      </c>
      <c r="D195" s="507" t="s">
        <v>1700</v>
      </c>
      <c r="E195" s="290" t="s">
        <v>1395</v>
      </c>
      <c r="F195" s="290"/>
      <c r="G195" s="292"/>
      <c r="H195" s="292"/>
      <c r="I195" s="475"/>
      <c r="J195" s="475"/>
      <c r="K195" s="517">
        <v>0.11</v>
      </c>
      <c r="L195" s="477">
        <v>0</v>
      </c>
      <c r="M195" s="477">
        <v>0</v>
      </c>
      <c r="N195" s="498">
        <v>0</v>
      </c>
      <c r="O195" s="499">
        <v>0</v>
      </c>
      <c r="P195" s="309"/>
      <c r="Z195" s="168"/>
    </row>
    <row r="196" ht="16.5" customHeight="1" outlineLevel="2" spans="2:26">
      <c r="B196" s="470" t="s">
        <v>1918</v>
      </c>
      <c r="C196" s="471" t="s">
        <v>797</v>
      </c>
      <c r="D196" s="507" t="s">
        <v>1919</v>
      </c>
      <c r="E196" s="290" t="s">
        <v>1395</v>
      </c>
      <c r="F196" s="290"/>
      <c r="G196" s="292"/>
      <c r="H196" s="292"/>
      <c r="I196" s="475"/>
      <c r="J196" s="475"/>
      <c r="K196" s="517">
        <v>0.11</v>
      </c>
      <c r="L196" s="477">
        <v>0</v>
      </c>
      <c r="M196" s="477">
        <v>0</v>
      </c>
      <c r="N196" s="498">
        <v>0</v>
      </c>
      <c r="O196" s="499">
        <v>0</v>
      </c>
      <c r="P196" s="309"/>
      <c r="Z196" s="168"/>
    </row>
    <row r="197" ht="16.5" customHeight="1" outlineLevel="2" spans="2:26">
      <c r="B197" s="470" t="s">
        <v>1920</v>
      </c>
      <c r="C197" s="471" t="s">
        <v>1519</v>
      </c>
      <c r="D197" s="507" t="s">
        <v>1921</v>
      </c>
      <c r="E197" s="290" t="s">
        <v>1395</v>
      </c>
      <c r="F197" s="290"/>
      <c r="G197" s="292"/>
      <c r="H197" s="292"/>
      <c r="I197" s="475"/>
      <c r="J197" s="475"/>
      <c r="K197" s="517">
        <v>0.11</v>
      </c>
      <c r="L197" s="477">
        <v>0</v>
      </c>
      <c r="M197" s="477">
        <v>0</v>
      </c>
      <c r="N197" s="498">
        <v>0</v>
      </c>
      <c r="O197" s="499">
        <v>0</v>
      </c>
      <c r="P197" s="309"/>
      <c r="Z197" s="168"/>
    </row>
    <row r="198" ht="16.5" customHeight="1" outlineLevel="2" spans="2:26">
      <c r="B198" s="470" t="s">
        <v>1922</v>
      </c>
      <c r="C198" s="471" t="s">
        <v>1520</v>
      </c>
      <c r="D198" s="507" t="s">
        <v>1923</v>
      </c>
      <c r="E198" s="290"/>
      <c r="F198" s="290"/>
      <c r="G198" s="292"/>
      <c r="H198" s="292"/>
      <c r="I198" s="475"/>
      <c r="J198" s="475"/>
      <c r="K198" s="517">
        <v>0.11</v>
      </c>
      <c r="L198" s="477">
        <v>0</v>
      </c>
      <c r="M198" s="477">
        <v>0</v>
      </c>
      <c r="N198" s="498">
        <v>0</v>
      </c>
      <c r="O198" s="499">
        <v>0</v>
      </c>
      <c r="P198" s="309"/>
      <c r="Z198" s="168"/>
    </row>
    <row r="199" ht="15.75" spans="3:26">
      <c r="C199" s="168"/>
      <c r="F199" s="168"/>
      <c r="G199" s="168"/>
      <c r="H199" s="168"/>
      <c r="I199" s="168"/>
      <c r="J199" s="168"/>
      <c r="K199" s="168"/>
      <c r="L199" s="168"/>
      <c r="Z199" s="168"/>
    </row>
    <row r="200" ht="15.75" spans="3:26">
      <c r="C200" s="168"/>
      <c r="F200" s="168"/>
      <c r="G200" s="168"/>
      <c r="H200" s="168"/>
      <c r="I200" s="168"/>
      <c r="J200" s="168"/>
      <c r="K200" s="168"/>
      <c r="L200" s="168"/>
      <c r="M200" s="538" t="s">
        <v>2</v>
      </c>
      <c r="N200" s="564">
        <v>788.732543384615</v>
      </c>
      <c r="O200" s="169">
        <v>2629.10847794872</v>
      </c>
      <c r="Y200" s="540">
        <v>0</v>
      </c>
      <c r="Z200" s="168"/>
    </row>
  </sheetData>
  <autoFilter ref="A3:Z198"/>
  <conditionalFormatting sqref="B4:C4">
    <cfRule type="duplicateValues" dxfId="506" priority="121"/>
  </conditionalFormatting>
  <conditionalFormatting sqref="B5:C5">
    <cfRule type="duplicateValues" dxfId="507" priority="120"/>
  </conditionalFormatting>
  <conditionalFormatting sqref="D6">
    <cfRule type="duplicateValues" dxfId="508" priority="125"/>
  </conditionalFormatting>
  <conditionalFormatting sqref="I6">
    <cfRule type="cellIs" dxfId="509" priority="72" operator="equal">
      <formula>0</formula>
    </cfRule>
    <cfRule type="cellIs" priority="71" operator="equal">
      <formula>0</formula>
    </cfRule>
  </conditionalFormatting>
  <conditionalFormatting sqref="I10">
    <cfRule type="cellIs" dxfId="510" priority="70" operator="equal">
      <formula>0</formula>
    </cfRule>
    <cfRule type="cellIs" priority="69" operator="equal">
      <formula>0</formula>
    </cfRule>
  </conditionalFormatting>
  <conditionalFormatting sqref="D21">
    <cfRule type="duplicateValues" dxfId="511" priority="57"/>
  </conditionalFormatting>
  <conditionalFormatting sqref="I21">
    <cfRule type="cellIs" dxfId="512" priority="54" operator="equal">
      <formula>0</formula>
    </cfRule>
    <cfRule type="cellIs" priority="53" operator="equal">
      <formula>0</formula>
    </cfRule>
  </conditionalFormatting>
  <conditionalFormatting sqref="K21">
    <cfRule type="cellIs" dxfId="513" priority="56" operator="equal">
      <formula>0</formula>
    </cfRule>
    <cfRule type="cellIs" priority="55" operator="equal">
      <formula>0</formula>
    </cfRule>
  </conditionalFormatting>
  <conditionalFormatting sqref="D22">
    <cfRule type="duplicateValues" dxfId="514" priority="62"/>
  </conditionalFormatting>
  <conditionalFormatting sqref="I22">
    <cfRule type="cellIs" dxfId="515" priority="59" operator="equal">
      <formula>0</formula>
    </cfRule>
    <cfRule type="cellIs" priority="58" operator="equal">
      <formula>0</formula>
    </cfRule>
  </conditionalFormatting>
  <conditionalFormatting sqref="K22">
    <cfRule type="cellIs" dxfId="516" priority="61" operator="equal">
      <formula>0</formula>
    </cfRule>
    <cfRule type="cellIs" priority="60" operator="equal">
      <formula>0</formula>
    </cfRule>
  </conditionalFormatting>
  <conditionalFormatting sqref="I43">
    <cfRule type="cellIs" dxfId="517" priority="118" operator="equal">
      <formula>0</formula>
    </cfRule>
    <cfRule type="cellIs" priority="117" operator="equal">
      <formula>0</formula>
    </cfRule>
  </conditionalFormatting>
  <conditionalFormatting sqref="I49">
    <cfRule type="cellIs" dxfId="518" priority="116" operator="equal">
      <formula>0</formula>
    </cfRule>
    <cfRule type="cellIs" priority="115" operator="equal">
      <formula>0</formula>
    </cfRule>
  </conditionalFormatting>
  <conditionalFormatting sqref="I50">
    <cfRule type="cellIs" dxfId="519" priority="90" operator="equal">
      <formula>0</formula>
    </cfRule>
    <cfRule type="cellIs" priority="89" operator="equal">
      <formula>0</formula>
    </cfRule>
  </conditionalFormatting>
  <conditionalFormatting sqref="I54">
    <cfRule type="cellIs" dxfId="520" priority="110" operator="equal">
      <formula>0</formula>
    </cfRule>
    <cfRule type="cellIs" priority="109" operator="equal">
      <formula>0</formula>
    </cfRule>
  </conditionalFormatting>
  <conditionalFormatting sqref="I55">
    <cfRule type="cellIs" dxfId="521" priority="112" operator="equal">
      <formula>0</formula>
    </cfRule>
    <cfRule type="cellIs" priority="111" operator="equal">
      <formula>0</formula>
    </cfRule>
  </conditionalFormatting>
  <conditionalFormatting sqref="I57">
    <cfRule type="cellIs" dxfId="522" priority="88" operator="equal">
      <formula>0</formula>
    </cfRule>
    <cfRule type="cellIs" priority="87" operator="equal">
      <formula>0</formula>
    </cfRule>
  </conditionalFormatting>
  <conditionalFormatting sqref="I60">
    <cfRule type="cellIs" dxfId="523" priority="108" operator="equal">
      <formula>0</formula>
    </cfRule>
    <cfRule type="cellIs" priority="107" operator="equal">
      <formula>0</formula>
    </cfRule>
  </conditionalFormatting>
  <conditionalFormatting sqref="I61">
    <cfRule type="cellIs" dxfId="524" priority="86" operator="equal">
      <formula>0</formula>
    </cfRule>
    <cfRule type="cellIs" priority="85" operator="equal">
      <formula>0</formula>
    </cfRule>
  </conditionalFormatting>
  <conditionalFormatting sqref="I62">
    <cfRule type="cellIs" dxfId="525" priority="84" operator="equal">
      <formula>0</formula>
    </cfRule>
    <cfRule type="cellIs" priority="83" operator="equal">
      <formula>0</formula>
    </cfRule>
  </conditionalFormatting>
  <conditionalFormatting sqref="B63:C63">
    <cfRule type="duplicateValues" dxfId="526" priority="119"/>
  </conditionalFormatting>
  <conditionalFormatting sqref="I65">
    <cfRule type="cellIs" dxfId="527" priority="82" operator="equal">
      <formula>0</formula>
    </cfRule>
    <cfRule type="cellIs" priority="81" operator="equal">
      <formula>0</formula>
    </cfRule>
  </conditionalFormatting>
  <conditionalFormatting sqref="I73">
    <cfRule type="cellIs" dxfId="528" priority="80" operator="equal">
      <formula>0</formula>
    </cfRule>
    <cfRule type="cellIs" priority="79" operator="equal">
      <formula>0</formula>
    </cfRule>
  </conditionalFormatting>
  <conditionalFormatting sqref="I78">
    <cfRule type="cellIs" dxfId="529" priority="78" operator="equal">
      <formula>0</formula>
    </cfRule>
    <cfRule type="cellIs" priority="77" operator="equal">
      <formula>0</formula>
    </cfRule>
  </conditionalFormatting>
  <conditionalFormatting sqref="I83">
    <cfRule type="cellIs" dxfId="530" priority="106" operator="equal">
      <formula>0</formula>
    </cfRule>
    <cfRule type="cellIs" priority="105" operator="equal">
      <formula>0</formula>
    </cfRule>
  </conditionalFormatting>
  <conditionalFormatting sqref="I84">
    <cfRule type="cellIs" dxfId="531" priority="76" operator="equal">
      <formula>0</formula>
    </cfRule>
    <cfRule type="cellIs" priority="75" operator="equal">
      <formula>0</formula>
    </cfRule>
  </conditionalFormatting>
  <conditionalFormatting sqref="I85">
    <cfRule type="cellIs" dxfId="532" priority="74" operator="equal">
      <formula>0</formula>
    </cfRule>
    <cfRule type="cellIs" priority="73" operator="equal">
      <formula>0</formula>
    </cfRule>
  </conditionalFormatting>
  <conditionalFormatting sqref="B89:C89">
    <cfRule type="duplicateValues" dxfId="533" priority="217"/>
  </conditionalFormatting>
  <conditionalFormatting sqref="B90:C90">
    <cfRule type="duplicateValues" dxfId="534" priority="216"/>
  </conditionalFormatting>
  <conditionalFormatting sqref="J91">
    <cfRule type="cellIs" dxfId="535" priority="42" operator="equal">
      <formula>0</formula>
    </cfRule>
    <cfRule type="cellIs" priority="41" operator="equal">
      <formula>0</formula>
    </cfRule>
  </conditionalFormatting>
  <conditionalFormatting sqref="M91">
    <cfRule type="cellIs" dxfId="536" priority="146" operator="equal">
      <formula>0</formula>
    </cfRule>
    <cfRule type="cellIs" priority="145" operator="equal">
      <formula>0</formula>
    </cfRule>
  </conditionalFormatting>
  <conditionalFormatting sqref="J92">
    <cfRule type="cellIs" dxfId="537" priority="40" operator="equal">
      <formula>0</formula>
    </cfRule>
    <cfRule type="cellIs" priority="39" operator="equal">
      <formula>0</formula>
    </cfRule>
  </conditionalFormatting>
  <conditionalFormatting sqref="J93">
    <cfRule type="cellIs" dxfId="538" priority="38" operator="equal">
      <formula>0</formula>
    </cfRule>
    <cfRule type="cellIs" priority="37" operator="equal">
      <formula>0</formula>
    </cfRule>
  </conditionalFormatting>
  <conditionalFormatting sqref="J94">
    <cfRule type="cellIs" dxfId="539" priority="36" operator="equal">
      <formula>0</formula>
    </cfRule>
    <cfRule type="cellIs" priority="35" operator="equal">
      <formula>0</formula>
    </cfRule>
  </conditionalFormatting>
  <conditionalFormatting sqref="J95">
    <cfRule type="cellIs" dxfId="540" priority="34" operator="equal">
      <formula>0</formula>
    </cfRule>
    <cfRule type="cellIs" priority="33" operator="equal">
      <formula>0</formula>
    </cfRule>
  </conditionalFormatting>
  <conditionalFormatting sqref="J97">
    <cfRule type="cellIs" dxfId="541" priority="32" operator="equal">
      <formula>0</formula>
    </cfRule>
    <cfRule type="cellIs" priority="31" operator="equal">
      <formula>0</formula>
    </cfRule>
  </conditionalFormatting>
  <conditionalFormatting sqref="J98">
    <cfRule type="cellIs" dxfId="542" priority="30" operator="equal">
      <formula>0</formula>
    </cfRule>
    <cfRule type="cellIs" priority="29" operator="equal">
      <formula>0</formula>
    </cfRule>
  </conditionalFormatting>
  <conditionalFormatting sqref="J99">
    <cfRule type="cellIs" dxfId="543" priority="18" operator="equal">
      <formula>0</formula>
    </cfRule>
    <cfRule type="cellIs" priority="17" operator="equal">
      <formula>0</formula>
    </cfRule>
  </conditionalFormatting>
  <conditionalFormatting sqref="J100">
    <cfRule type="cellIs" dxfId="544" priority="24" operator="equal">
      <formula>0</formula>
    </cfRule>
    <cfRule type="cellIs" priority="23" operator="equal">
      <formula>0</formula>
    </cfRule>
  </conditionalFormatting>
  <conditionalFormatting sqref="J101">
    <cfRule type="cellIs" dxfId="545" priority="28" operator="equal">
      <formula>0</formula>
    </cfRule>
    <cfRule type="cellIs" priority="27" operator="equal">
      <formula>0</formula>
    </cfRule>
  </conditionalFormatting>
  <conditionalFormatting sqref="J102">
    <cfRule type="cellIs" dxfId="546" priority="22" operator="equal">
      <formula>0</formula>
    </cfRule>
    <cfRule type="cellIs" priority="21" operator="equal">
      <formula>0</formula>
    </cfRule>
  </conditionalFormatting>
  <conditionalFormatting sqref="J103">
    <cfRule type="cellIs" dxfId="547" priority="26" operator="equal">
      <formula>0</formula>
    </cfRule>
    <cfRule type="cellIs" priority="25" operator="equal">
      <formula>0</formula>
    </cfRule>
  </conditionalFormatting>
  <conditionalFormatting sqref="J104">
    <cfRule type="cellIs" dxfId="548" priority="20" operator="equal">
      <formula>0</formula>
    </cfRule>
    <cfRule type="cellIs" priority="19" operator="equal">
      <formula>0</formula>
    </cfRule>
  </conditionalFormatting>
  <conditionalFormatting sqref="E105">
    <cfRule type="duplicateValues" dxfId="549" priority="148"/>
  </conditionalFormatting>
  <conditionalFormatting sqref="E106">
    <cfRule type="duplicateValues" dxfId="550" priority="147"/>
  </conditionalFormatting>
  <conditionalFormatting sqref="B107:C107">
    <cfRule type="duplicateValues" dxfId="551" priority="215"/>
  </conditionalFormatting>
  <conditionalFormatting sqref="E112">
    <cfRule type="duplicateValues" dxfId="552" priority="130"/>
  </conditionalFormatting>
  <conditionalFormatting sqref="I112">
    <cfRule type="cellIs" dxfId="553" priority="14" operator="equal">
      <formula>0</formula>
    </cfRule>
    <cfRule type="cellIs" priority="13" operator="equal">
      <formula>0</formula>
    </cfRule>
  </conditionalFormatting>
  <conditionalFormatting sqref="J112">
    <cfRule type="cellIs" dxfId="554" priority="12" operator="equal">
      <formula>0</formula>
    </cfRule>
    <cfRule type="cellIs" priority="11" operator="equal">
      <formula>0</formula>
    </cfRule>
  </conditionalFormatting>
  <conditionalFormatting sqref="M112">
    <cfRule type="cellIs" dxfId="555" priority="129" operator="equal">
      <formula>0</formula>
    </cfRule>
    <cfRule type="cellIs" priority="128" operator="equal">
      <formula>0</formula>
    </cfRule>
  </conditionalFormatting>
  <conditionalFormatting sqref="E113">
    <cfRule type="duplicateValues" dxfId="556" priority="131"/>
  </conditionalFormatting>
  <conditionalFormatting sqref="M113">
    <cfRule type="cellIs" dxfId="557" priority="127" operator="equal">
      <formula>0</formula>
    </cfRule>
    <cfRule type="cellIs" priority="126" operator="equal">
      <formula>0</formula>
    </cfRule>
  </conditionalFormatting>
  <conditionalFormatting sqref="B115:C115">
    <cfRule type="duplicateValues" dxfId="558" priority="213"/>
  </conditionalFormatting>
  <conditionalFormatting sqref="B116:C116">
    <cfRule type="duplicateValues" dxfId="559" priority="212"/>
  </conditionalFormatting>
  <conditionalFormatting sqref="J120">
    <cfRule type="cellIs" dxfId="560" priority="10" operator="equal">
      <formula>0</formula>
    </cfRule>
    <cfRule type="cellIs" priority="9" operator="equal">
      <formula>0</formula>
    </cfRule>
  </conditionalFormatting>
  <conditionalFormatting sqref="J123">
    <cfRule type="cellIs" dxfId="561" priority="8" operator="equal">
      <formula>0</formula>
    </cfRule>
    <cfRule type="cellIs" priority="7" operator="equal">
      <formula>0</formula>
    </cfRule>
  </conditionalFormatting>
  <conditionalFormatting sqref="I133">
    <cfRule type="cellIs" dxfId="562" priority="206" operator="equal">
      <formula>0</formula>
    </cfRule>
    <cfRule type="cellIs" priority="205" operator="equal">
      <formula>0</formula>
    </cfRule>
  </conditionalFormatting>
  <conditionalFormatting sqref="J133">
    <cfRule type="cellIs" dxfId="563" priority="6" operator="equal">
      <formula>0</formula>
    </cfRule>
    <cfRule type="cellIs" priority="5" operator="equal">
      <formula>0</formula>
    </cfRule>
  </conditionalFormatting>
  <conditionalFormatting sqref="J135">
    <cfRule type="cellIs" dxfId="564" priority="2" operator="equal">
      <formula>0</formula>
    </cfRule>
    <cfRule type="cellIs" priority="1" operator="equal">
      <formula>0</formula>
    </cfRule>
  </conditionalFormatting>
  <conditionalFormatting sqref="I141">
    <cfRule type="cellIs" dxfId="565" priority="178" operator="equal">
      <formula>0</formula>
    </cfRule>
    <cfRule type="cellIs" priority="177" operator="equal">
      <formula>0</formula>
    </cfRule>
  </conditionalFormatting>
  <conditionalFormatting sqref="I142">
    <cfRule type="cellIs" dxfId="566" priority="196" operator="equal">
      <formula>0</formula>
    </cfRule>
    <cfRule type="cellIs" priority="195" operator="equal">
      <formula>0</formula>
    </cfRule>
  </conditionalFormatting>
  <conditionalFormatting sqref="I147">
    <cfRule type="cellIs" dxfId="567" priority="194" operator="equal">
      <formula>0</formula>
    </cfRule>
    <cfRule type="cellIs" priority="193" operator="equal">
      <formula>0</formula>
    </cfRule>
  </conditionalFormatting>
  <conditionalFormatting sqref="I148">
    <cfRule type="cellIs" dxfId="568" priority="182" operator="equal">
      <formula>0</formula>
    </cfRule>
    <cfRule type="cellIs" priority="181" operator="equal">
      <formula>0</formula>
    </cfRule>
  </conditionalFormatting>
  <conditionalFormatting sqref="B149:C149">
    <cfRule type="duplicateValues" dxfId="569" priority="211"/>
  </conditionalFormatting>
  <conditionalFormatting sqref="D155">
    <cfRule type="duplicateValues" dxfId="570" priority="47"/>
  </conditionalFormatting>
  <conditionalFormatting sqref="I155">
    <cfRule type="cellIs" dxfId="571" priority="46" operator="equal">
      <formula>0</formula>
    </cfRule>
    <cfRule type="cellIs" priority="45" operator="equal">
      <formula>0</formula>
    </cfRule>
  </conditionalFormatting>
  <conditionalFormatting sqref="I164">
    <cfRule type="cellIs" dxfId="572" priority="190" operator="equal">
      <formula>0</formula>
    </cfRule>
    <cfRule type="cellIs" priority="189" operator="equal">
      <formula>0</formula>
    </cfRule>
  </conditionalFormatting>
  <conditionalFormatting sqref="I165">
    <cfRule type="cellIs" dxfId="573" priority="202" operator="equal">
      <formula>0</formula>
    </cfRule>
    <cfRule type="cellIs" priority="201" operator="equal">
      <formula>0</formula>
    </cfRule>
  </conditionalFormatting>
  <conditionalFormatting sqref="I167">
    <cfRule type="cellIs" dxfId="574" priority="188" operator="equal">
      <formula>0</formula>
    </cfRule>
    <cfRule type="cellIs" priority="187" operator="equal">
      <formula>0</formula>
    </cfRule>
  </conditionalFormatting>
  <conditionalFormatting sqref="B175:C175">
    <cfRule type="duplicateValues" dxfId="575" priority="210"/>
  </conditionalFormatting>
  <conditionalFormatting sqref="I177">
    <cfRule type="cellIs" dxfId="576" priority="209" operator="equal">
      <formula>0</formula>
    </cfRule>
    <cfRule type="cellIs" priority="208" operator="equal">
      <formula>0</formula>
    </cfRule>
  </conditionalFormatting>
  <conditionalFormatting sqref="B187:C187">
    <cfRule type="duplicateValues" dxfId="577" priority="207"/>
  </conditionalFormatting>
  <conditionalFormatting sqref="I188">
    <cfRule type="cellIs" dxfId="578" priority="173" operator="equal">
      <formula>0</formula>
    </cfRule>
    <cfRule type="cellIs" priority="172" operator="equal">
      <formula>0</formula>
    </cfRule>
  </conditionalFormatting>
  <conditionalFormatting sqref="D192">
    <cfRule type="duplicateValues" dxfId="579" priority="165"/>
  </conditionalFormatting>
  <conditionalFormatting sqref="I192">
    <cfRule type="cellIs" dxfId="580" priority="164" operator="equal">
      <formula>0</formula>
    </cfRule>
    <cfRule type="cellIs" priority="163" operator="equal">
      <formula>0</formula>
    </cfRule>
  </conditionalFormatting>
  <conditionalFormatting sqref="D193">
    <cfRule type="duplicateValues" dxfId="581" priority="156"/>
  </conditionalFormatting>
  <conditionalFormatting sqref="I193">
    <cfRule type="cellIs" dxfId="582" priority="155" operator="equal">
      <formula>0</formula>
    </cfRule>
    <cfRule type="cellIs" priority="154" operator="equal">
      <formula>0</formula>
    </cfRule>
  </conditionalFormatting>
  <conditionalFormatting sqref="D194">
    <cfRule type="duplicateValues" dxfId="583" priority="159"/>
  </conditionalFormatting>
  <conditionalFormatting sqref="I194">
    <cfRule type="cellIs" dxfId="584" priority="158" operator="equal">
      <formula>0</formula>
    </cfRule>
    <cfRule type="cellIs" priority="157" operator="equal">
      <formula>0</formula>
    </cfRule>
  </conditionalFormatting>
  <conditionalFormatting sqref="D195">
    <cfRule type="duplicateValues" dxfId="585" priority="162"/>
  </conditionalFormatting>
  <conditionalFormatting sqref="I195">
    <cfRule type="cellIs" dxfId="586" priority="161" operator="equal">
      <formula>0</formula>
    </cfRule>
    <cfRule type="cellIs" priority="160" operator="equal">
      <formula>0</formula>
    </cfRule>
  </conditionalFormatting>
  <conditionalFormatting sqref="D196">
    <cfRule type="duplicateValues" dxfId="587" priority="168"/>
  </conditionalFormatting>
  <conditionalFormatting sqref="I196">
    <cfRule type="cellIs" dxfId="588" priority="167" operator="equal">
      <formula>0</formula>
    </cfRule>
    <cfRule type="cellIs" priority="166" operator="equal">
      <formula>0</formula>
    </cfRule>
  </conditionalFormatting>
  <conditionalFormatting sqref="D197">
    <cfRule type="duplicateValues" dxfId="589" priority="171"/>
  </conditionalFormatting>
  <conditionalFormatting sqref="I197">
    <cfRule type="cellIs" dxfId="590" priority="170" operator="equal">
      <formula>0</formula>
    </cfRule>
    <cfRule type="cellIs" priority="169" operator="equal">
      <formula>0</formula>
    </cfRule>
  </conditionalFormatting>
  <conditionalFormatting sqref="B112:B113">
    <cfRule type="duplicateValues" dxfId="591" priority="133"/>
  </conditionalFormatting>
  <conditionalFormatting sqref="D7:D8">
    <cfRule type="duplicateValues" dxfId="592" priority="52"/>
  </conditionalFormatting>
  <conditionalFormatting sqref="D91:D106">
    <cfRule type="duplicateValues" dxfId="593" priority="149"/>
  </conditionalFormatting>
  <conditionalFormatting sqref="D108:D110">
    <cfRule type="duplicateValues" dxfId="594" priority="142"/>
  </conditionalFormatting>
  <conditionalFormatting sqref="D112:D113">
    <cfRule type="duplicateValues" dxfId="595" priority="132"/>
  </conditionalFormatting>
  <conditionalFormatting sqref="I7:I8">
    <cfRule type="cellIs" dxfId="596" priority="49" operator="equal">
      <formula>0</formula>
    </cfRule>
    <cfRule type="cellIs" priority="48" operator="equal">
      <formula>0</formula>
    </cfRule>
  </conditionalFormatting>
  <conditionalFormatting sqref="I11:I12">
    <cfRule type="cellIs" dxfId="597" priority="66" operator="equal">
      <formula>0</formula>
    </cfRule>
    <cfRule type="cellIs" priority="65" operator="equal">
      <formula>0</formula>
    </cfRule>
  </conditionalFormatting>
  <conditionalFormatting sqref="I24:I27">
    <cfRule type="cellIs" dxfId="598" priority="102" operator="equal">
      <formula>0</formula>
    </cfRule>
    <cfRule type="cellIs" priority="101" operator="equal">
      <formula>0</formula>
    </cfRule>
  </conditionalFormatting>
  <conditionalFormatting sqref="I28:I29">
    <cfRule type="cellIs" dxfId="599" priority="100" operator="equal">
      <formula>0</formula>
    </cfRule>
    <cfRule type="cellIs" priority="99" operator="equal">
      <formula>0</formula>
    </cfRule>
  </conditionalFormatting>
  <conditionalFormatting sqref="I31:I32">
    <cfRule type="cellIs" dxfId="600" priority="98" operator="equal">
      <formula>0</formula>
    </cfRule>
    <cfRule type="cellIs" priority="97" operator="equal">
      <formula>0</formula>
    </cfRule>
  </conditionalFormatting>
  <conditionalFormatting sqref="I34:I38">
    <cfRule type="cellIs" dxfId="601" priority="96" operator="equal">
      <formula>0</formula>
    </cfRule>
    <cfRule type="cellIs" priority="95" operator="equal">
      <formula>0</formula>
    </cfRule>
  </conditionalFormatting>
  <conditionalFormatting sqref="I40:I42">
    <cfRule type="cellIs" dxfId="602" priority="94" operator="equal">
      <formula>0</formula>
    </cfRule>
    <cfRule type="cellIs" priority="93" operator="equal">
      <formula>0</formula>
    </cfRule>
  </conditionalFormatting>
  <conditionalFormatting sqref="I44:I48">
    <cfRule type="cellIs" dxfId="603" priority="92" operator="equal">
      <formula>0</formula>
    </cfRule>
    <cfRule type="cellIs" priority="91" operator="equal">
      <formula>0</formula>
    </cfRule>
  </conditionalFormatting>
  <conditionalFormatting sqref="I51:I52">
    <cfRule type="cellIs" dxfId="604" priority="114" operator="equal">
      <formula>0</formula>
    </cfRule>
    <cfRule type="cellIs" priority="113" operator="equal">
      <formula>0</formula>
    </cfRule>
  </conditionalFormatting>
  <conditionalFormatting sqref="I91:I106">
    <cfRule type="cellIs" dxfId="605" priority="151" operator="equal">
      <formula>0</formula>
    </cfRule>
    <cfRule type="cellIs" priority="150" operator="equal">
      <formula>0</formula>
    </cfRule>
  </conditionalFormatting>
  <conditionalFormatting sqref="I108:I110">
    <cfRule type="cellIs" dxfId="606" priority="139" operator="equal">
      <formula>0</formula>
    </cfRule>
    <cfRule type="cellIs" priority="138" operator="equal">
      <formula>0</formula>
    </cfRule>
  </conditionalFormatting>
  <conditionalFormatting sqref="I119:I120">
    <cfRule type="cellIs" dxfId="607" priority="200" operator="equal">
      <formula>0</formula>
    </cfRule>
    <cfRule type="cellIs" priority="199" operator="equal">
      <formula>0</formula>
    </cfRule>
  </conditionalFormatting>
  <conditionalFormatting sqref="I122:I123">
    <cfRule type="cellIs" dxfId="608" priority="198" operator="equal">
      <formula>0</formula>
    </cfRule>
    <cfRule type="cellIs" priority="197" operator="equal">
      <formula>0</formula>
    </cfRule>
  </conditionalFormatting>
  <conditionalFormatting sqref="I135:I137">
    <cfRule type="cellIs" dxfId="609" priority="180" operator="equal">
      <formula>0</formula>
    </cfRule>
    <cfRule type="cellIs" priority="179" operator="equal">
      <formula>0</formula>
    </cfRule>
  </conditionalFormatting>
  <conditionalFormatting sqref="I158:I160">
    <cfRule type="cellIs" dxfId="610" priority="192" operator="equal">
      <formula>0</formula>
    </cfRule>
    <cfRule type="cellIs" priority="191" operator="equal">
      <formula>0</formula>
    </cfRule>
  </conditionalFormatting>
  <conditionalFormatting sqref="I168:I170">
    <cfRule type="cellIs" dxfId="611" priority="186" operator="equal">
      <formula>0</formula>
    </cfRule>
    <cfRule type="cellIs" priority="185" operator="equal">
      <formula>0</formula>
    </cfRule>
  </conditionalFormatting>
  <conditionalFormatting sqref="I178:I179">
    <cfRule type="cellIs" dxfId="612" priority="204" operator="equal">
      <formula>0</formula>
    </cfRule>
    <cfRule type="cellIs" priority="203" operator="equal">
      <formula>0</formula>
    </cfRule>
  </conditionalFormatting>
  <conditionalFormatting sqref="I181:I182">
    <cfRule type="cellIs" dxfId="613" priority="184" operator="equal">
      <formula>0</formula>
    </cfRule>
    <cfRule type="cellIs" priority="183" operator="equal">
      <formula>0</formula>
    </cfRule>
  </conditionalFormatting>
  <conditionalFormatting sqref="J108:J110">
    <cfRule type="cellIs" dxfId="614" priority="16" operator="equal">
      <formula>0</formula>
    </cfRule>
    <cfRule type="cellIs" priority="15" operator="equal">
      <formula>0</formula>
    </cfRule>
  </conditionalFormatting>
  <conditionalFormatting sqref="J136:J137">
    <cfRule type="cellIs" dxfId="615" priority="4" operator="equal">
      <formula>0</formula>
    </cfRule>
    <cfRule type="cellIs" priority="3" operator="equal">
      <formula>0</formula>
    </cfRule>
  </conditionalFormatting>
  <conditionalFormatting sqref="K7:K8">
    <cfRule type="cellIs" dxfId="616" priority="51" operator="equal">
      <formula>0</formula>
    </cfRule>
    <cfRule type="cellIs" priority="50" operator="equal">
      <formula>0</formula>
    </cfRule>
  </conditionalFormatting>
  <conditionalFormatting sqref="K11:K12">
    <cfRule type="cellIs" dxfId="617" priority="68" operator="equal">
      <formula>0</formula>
    </cfRule>
    <cfRule type="cellIs" priority="67" operator="equal">
      <formula>0</formula>
    </cfRule>
  </conditionalFormatting>
  <conditionalFormatting sqref="K91:K106">
    <cfRule type="cellIs" dxfId="618" priority="153" operator="equal">
      <formula>0</formula>
    </cfRule>
    <cfRule type="cellIs" priority="152" operator="equal">
      <formula>0</formula>
    </cfRule>
  </conditionalFormatting>
  <conditionalFormatting sqref="K108:K110">
    <cfRule type="cellIs" dxfId="619" priority="141" operator="equal">
      <formula>0</formula>
    </cfRule>
    <cfRule type="cellIs" priority="140" operator="equal">
      <formula>0</formula>
    </cfRule>
  </conditionalFormatting>
  <conditionalFormatting sqref="M92:M106">
    <cfRule type="cellIs" dxfId="620" priority="144" operator="equal">
      <formula>0</formula>
    </cfRule>
    <cfRule type="cellIs" priority="143" operator="equal">
      <formula>0</formula>
    </cfRule>
  </conditionalFormatting>
  <conditionalFormatting sqref="M108:M110">
    <cfRule type="cellIs" dxfId="621" priority="137" operator="equal">
      <formula>0</formula>
    </cfRule>
    <cfRule type="cellIs" priority="136" operator="equal">
      <formula>0</formula>
    </cfRule>
  </conditionalFormatting>
  <conditionalFormatting sqref="D199:D1048576 D89:D90 D1:D3 D107 D111 D114:D154 D156:D187">
    <cfRule type="duplicateValues" dxfId="622" priority="220"/>
  </conditionalFormatting>
  <conditionalFormatting sqref="D23:D88 D9:D20 D4:D5">
    <cfRule type="duplicateValues" dxfId="623" priority="124"/>
  </conditionalFormatting>
  <conditionalFormatting sqref="I58:I59 I4:I5 I30 I39 I53 I56 I63:I64 I79:I82 I74:I77 I66:I72 I86:I88 I33 I9 I13 K4:K6 K13 K16:K20 I16:I17 K9:K10 K23:K88">
    <cfRule type="cellIs" dxfId="624" priority="123" operator="equal">
      <formula>0</formula>
    </cfRule>
  </conditionalFormatting>
  <conditionalFormatting sqref="I58:I59 I30 I39 I53 I56 I63:I64 I79:I82 I74:I77 I66:I72 I86:I88 I33 I9 I13 K6 K13 K16:K20 I16:I17 K9:K10 K23:K88">
    <cfRule type="cellIs" priority="122" operator="equal">
      <formula>0</formula>
    </cfRule>
  </conditionalFormatting>
  <conditionalFormatting sqref="I14:I15 K14:K15">
    <cfRule type="cellIs" dxfId="625" priority="64" operator="equal">
      <formula>0</formula>
    </cfRule>
    <cfRule type="cellIs" priority="63" operator="equal">
      <formula>0</formula>
    </cfRule>
  </conditionalFormatting>
  <conditionalFormatting sqref="I18:I20 I23">
    <cfRule type="cellIs" dxfId="626" priority="104" operator="equal">
      <formula>0</formula>
    </cfRule>
    <cfRule type="cellIs" priority="103" operator="equal">
      <formula>0</formula>
    </cfRule>
  </conditionalFormatting>
  <conditionalFormatting sqref="I121 I134 I143:I146 I161:I163 I171:I176 I166 I180 I183:I187 I149:I154 I124:I132 I138:I140 I199:I1048576 L199:L1048576 I114:I118 L114 J113:K114 I111:K111 I107:K107 J187:K1048576 I156:I157 I89:K90">
    <cfRule type="cellIs" dxfId="627" priority="219" operator="equal">
      <formula>0</formula>
    </cfRule>
  </conditionalFormatting>
  <conditionalFormatting sqref="I121 I134 I143:I146 I161:I163 I171:I176 I166 I180 I183:I187 I149:I154 I124:I132 I138:I140 I114:I118 L114 J113:K114 I111:K111 I107:K107 J187:K198 I156:I157 I89:K90">
    <cfRule type="cellIs" priority="218" operator="equal">
      <formula>0</formula>
    </cfRule>
  </conditionalFormatting>
  <conditionalFormatting sqref="J96 J105:J106">
    <cfRule type="cellIs" dxfId="628" priority="44" operator="equal">
      <formula>0</formula>
    </cfRule>
    <cfRule type="cellIs" priority="43" operator="equal">
      <formula>0</formula>
    </cfRule>
  </conditionalFormatting>
  <conditionalFormatting sqref="B111:C111 B114:C114">
    <cfRule type="duplicateValues" dxfId="629" priority="214"/>
  </conditionalFormatting>
  <conditionalFormatting sqref="I113 K112">
    <cfRule type="cellIs" dxfId="630" priority="135" operator="equal">
      <formula>0</formula>
    </cfRule>
    <cfRule type="cellIs" priority="134" operator="equal">
      <formula>0</formula>
    </cfRule>
  </conditionalFormatting>
  <conditionalFormatting sqref="D198 D188:D191">
    <cfRule type="duplicateValues" dxfId="631" priority="176"/>
  </conditionalFormatting>
  <conditionalFormatting sqref="I189:I191 I198">
    <cfRule type="cellIs" dxfId="632" priority="175" operator="equal">
      <formula>0</formula>
    </cfRule>
    <cfRule type="cellIs" priority="174" operator="equal">
      <formula>0</formula>
    </cfRule>
  </conditionalFormatting>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Q29"/>
  <sheetViews>
    <sheetView topLeftCell="A4" workbookViewId="0">
      <selection activeCell="E16" sqref="E16"/>
    </sheetView>
  </sheetViews>
  <sheetFormatPr defaultColWidth="9" defaultRowHeight="15.75"/>
  <cols>
    <col min="5" max="6" width="10" customWidth="1"/>
  </cols>
  <sheetData>
    <row r="1" spans="1:69">
      <c r="A1" s="1748" t="s">
        <v>18</v>
      </c>
      <c r="B1" s="1749"/>
      <c r="C1" s="1749"/>
      <c r="D1" s="1749"/>
      <c r="E1" s="1749"/>
      <c r="F1" s="1749"/>
      <c r="G1" s="1749"/>
      <c r="H1" s="1749"/>
      <c r="I1" s="1749"/>
      <c r="J1" s="1749"/>
      <c r="K1" s="1749"/>
      <c r="L1" s="1749"/>
      <c r="M1" s="1749"/>
      <c r="N1" s="1749"/>
      <c r="O1" s="1749"/>
      <c r="P1" s="1749"/>
      <c r="Q1" s="1750"/>
      <c r="R1" s="1750"/>
      <c r="S1" s="1750"/>
      <c r="T1" s="1750"/>
      <c r="U1" s="1750"/>
      <c r="V1" s="1750"/>
      <c r="W1" s="1750"/>
      <c r="X1" s="1750"/>
      <c r="Y1" s="1750"/>
      <c r="Z1" s="1750"/>
      <c r="AA1" s="1750"/>
      <c r="AB1" s="1750"/>
      <c r="AC1" s="1750"/>
      <c r="AD1" s="1750"/>
      <c r="AE1" s="1750"/>
      <c r="AF1" s="1750"/>
      <c r="AG1" s="1750"/>
      <c r="AH1" s="1750"/>
      <c r="AI1" s="1750"/>
      <c r="AJ1" s="1750"/>
      <c r="AK1" s="1750"/>
      <c r="AL1" s="1750"/>
      <c r="AM1" s="1750"/>
      <c r="AN1" s="1750"/>
      <c r="AO1" s="1750"/>
      <c r="AP1" s="1750"/>
      <c r="AQ1" s="1750"/>
      <c r="AR1" s="1750"/>
      <c r="AS1" s="1750"/>
      <c r="AT1" s="1750"/>
      <c r="AU1" s="1750"/>
      <c r="AV1" s="1750"/>
      <c r="AW1" s="1750"/>
      <c r="AX1" s="1750"/>
      <c r="AY1" s="1750"/>
      <c r="AZ1" s="1750"/>
      <c r="BA1" s="1750"/>
      <c r="BB1" s="1750"/>
      <c r="BC1" s="1750"/>
      <c r="BD1" s="1750"/>
      <c r="BE1" s="1750"/>
      <c r="BF1" s="1750"/>
      <c r="BG1" s="1750"/>
      <c r="BH1" s="1750"/>
      <c r="BI1" s="1750"/>
      <c r="BJ1" s="1750"/>
      <c r="BK1" s="1750"/>
      <c r="BL1" s="1750"/>
      <c r="BM1" s="1750"/>
      <c r="BN1" s="1750"/>
      <c r="BO1" s="1750"/>
      <c r="BP1" s="1750"/>
      <c r="BQ1" s="1750"/>
    </row>
    <row r="2" spans="1:69">
      <c r="A2" s="1750"/>
      <c r="B2" s="1750" t="s">
        <v>19</v>
      </c>
      <c r="C2" s="1751"/>
      <c r="D2" s="1750"/>
      <c r="E2" s="1750"/>
      <c r="F2" s="1750"/>
      <c r="G2" s="1750"/>
      <c r="H2" s="1750"/>
      <c r="I2" s="1750"/>
      <c r="J2" s="1776"/>
      <c r="K2" s="1777"/>
      <c r="L2" s="1778"/>
      <c r="M2" s="1750"/>
      <c r="N2" s="1750"/>
      <c r="O2" s="1776"/>
      <c r="P2" s="1750"/>
      <c r="Q2" s="1775" t="e">
        <f>AVERAGE(#REF!)</f>
        <v>#REF!</v>
      </c>
      <c r="R2" s="1750"/>
      <c r="S2" s="1750"/>
      <c r="T2" s="1750"/>
      <c r="U2" s="1750"/>
      <c r="V2" s="1750"/>
      <c r="W2" s="1750"/>
      <c r="X2" s="1750"/>
      <c r="Y2" s="1750"/>
      <c r="Z2" s="1750"/>
      <c r="AA2" s="1750"/>
      <c r="AB2" s="1750"/>
      <c r="AC2" s="1750"/>
      <c r="AD2" s="1750"/>
      <c r="AE2" s="1750"/>
      <c r="AF2" s="1750"/>
      <c r="AG2" s="1750"/>
      <c r="AH2" s="1750"/>
      <c r="AI2" s="1750"/>
      <c r="AJ2" s="1750"/>
      <c r="AK2" s="1750"/>
      <c r="AL2" s="1750"/>
      <c r="AM2" s="1750"/>
      <c r="AN2" s="1750"/>
      <c r="AO2" s="1750"/>
      <c r="AP2" s="1750"/>
      <c r="AQ2" s="1750"/>
      <c r="AR2" s="1750"/>
      <c r="AS2" s="1750"/>
      <c r="AT2" s="1750"/>
      <c r="AU2" s="1750"/>
      <c r="AV2" s="1750"/>
      <c r="AW2" s="1750"/>
      <c r="AX2" s="1750"/>
      <c r="AY2" s="1750"/>
      <c r="AZ2" s="1750"/>
      <c r="BA2" s="1750"/>
      <c r="BB2" s="1750"/>
      <c r="BC2" s="1750"/>
      <c r="BD2" s="1750"/>
      <c r="BE2" s="1750"/>
      <c r="BF2" s="1750"/>
      <c r="BG2" s="1750"/>
      <c r="BH2" s="1750"/>
      <c r="BI2" s="1750"/>
      <c r="BJ2" s="1750"/>
      <c r="BK2" s="1750"/>
      <c r="BL2" s="1750"/>
      <c r="BM2" s="1750"/>
      <c r="BN2" s="1750"/>
      <c r="BO2" s="1750"/>
      <c r="BP2" s="1750"/>
      <c r="BQ2" s="1750"/>
    </row>
    <row r="3" spans="1:69">
      <c r="A3" s="1750"/>
      <c r="B3" s="1750" t="s">
        <v>20</v>
      </c>
      <c r="C3" s="1751"/>
      <c r="D3" s="1750"/>
      <c r="E3" s="1750"/>
      <c r="F3" s="1750"/>
      <c r="G3" s="1750"/>
      <c r="H3" s="1750"/>
      <c r="I3" s="1750"/>
      <c r="J3" s="1776"/>
      <c r="K3" s="1777"/>
      <c r="L3" s="1778"/>
      <c r="M3" s="1750"/>
      <c r="N3" s="1750"/>
      <c r="O3" s="1776"/>
      <c r="P3" s="1750"/>
      <c r="Q3" s="1750"/>
      <c r="R3" s="1750"/>
      <c r="S3" s="1750"/>
      <c r="T3" s="1750"/>
      <c r="U3" s="1750"/>
      <c r="V3" s="1750"/>
      <c r="W3" s="1750"/>
      <c r="X3" s="1750"/>
      <c r="Y3" s="1750"/>
      <c r="Z3" s="1750"/>
      <c r="AA3" s="1750"/>
      <c r="AB3" s="1750"/>
      <c r="AC3" s="1750"/>
      <c r="AD3" s="1750"/>
      <c r="AE3" s="1750"/>
      <c r="AF3" s="1750"/>
      <c r="AG3" s="1750"/>
      <c r="AH3" s="1750"/>
      <c r="AI3" s="1750"/>
      <c r="AJ3" s="1750"/>
      <c r="AK3" s="1750"/>
      <c r="AL3" s="1750"/>
      <c r="AM3" s="1750"/>
      <c r="AN3" s="1750"/>
      <c r="AO3" s="1750"/>
      <c r="AP3" s="1750"/>
      <c r="AQ3" s="1750"/>
      <c r="AR3" s="1750"/>
      <c r="AS3" s="1750"/>
      <c r="AT3" s="1750"/>
      <c r="AU3" s="1750"/>
      <c r="AV3" s="1750"/>
      <c r="AW3" s="1750"/>
      <c r="AX3" s="1750"/>
      <c r="AY3" s="1750"/>
      <c r="AZ3" s="1750"/>
      <c r="BA3" s="1750"/>
      <c r="BB3" s="1750"/>
      <c r="BC3" s="1750"/>
      <c r="BD3" s="1750"/>
      <c r="BE3" s="1750"/>
      <c r="BF3" s="1750"/>
      <c r="BG3" s="1750"/>
      <c r="BH3" s="1750"/>
      <c r="BI3" s="1750"/>
      <c r="BJ3" s="1750"/>
      <c r="BK3" s="1750"/>
      <c r="BL3" s="1750"/>
      <c r="BM3" s="1750"/>
      <c r="BN3" s="1750"/>
      <c r="BO3" s="1750"/>
      <c r="BP3" s="1750"/>
      <c r="BQ3" s="1750"/>
    </row>
    <row r="4" ht="18.75" customHeight="1" spans="1:19">
      <c r="A4" s="1752" t="s">
        <v>21</v>
      </c>
      <c r="B4" s="1753" t="s">
        <v>22</v>
      </c>
      <c r="C4" s="1754" t="s">
        <v>23</v>
      </c>
      <c r="D4" s="1755"/>
      <c r="E4" s="1755"/>
      <c r="F4" s="1755"/>
      <c r="G4" s="1756" t="s">
        <v>24</v>
      </c>
      <c r="H4" s="1756"/>
      <c r="I4" s="1754" t="s">
        <v>25</v>
      </c>
      <c r="J4" s="1779"/>
      <c r="K4" s="1779"/>
      <c r="L4" s="1779"/>
      <c r="M4" s="1779"/>
      <c r="N4" s="1779"/>
      <c r="O4" s="1779"/>
      <c r="P4" s="1755"/>
      <c r="Q4" s="1792"/>
      <c r="R4" s="1750"/>
      <c r="S4" s="1750"/>
    </row>
    <row r="5" spans="1:19">
      <c r="A5" s="1757"/>
      <c r="B5" s="1753"/>
      <c r="C5" s="1758" t="s">
        <v>26</v>
      </c>
      <c r="D5" s="1759" t="s">
        <v>27</v>
      </c>
      <c r="E5" s="1759" t="s">
        <v>28</v>
      </c>
      <c r="F5" s="1760" t="s">
        <v>29</v>
      </c>
      <c r="G5" s="1753" t="s">
        <v>30</v>
      </c>
      <c r="H5" s="1753" t="s">
        <v>31</v>
      </c>
      <c r="I5" s="1753" t="s">
        <v>32</v>
      </c>
      <c r="J5" s="1753" t="s">
        <v>33</v>
      </c>
      <c r="K5" s="1780" t="s">
        <v>34</v>
      </c>
      <c r="L5" s="1781" t="s">
        <v>35</v>
      </c>
      <c r="M5" s="1782" t="s">
        <v>36</v>
      </c>
      <c r="N5" s="1753" t="s">
        <v>37</v>
      </c>
      <c r="O5" s="1759" t="s">
        <v>38</v>
      </c>
      <c r="P5" s="1780" t="s">
        <v>39</v>
      </c>
      <c r="Q5" s="1793"/>
      <c r="R5" s="1750"/>
      <c r="S5" s="1750"/>
    </row>
    <row r="6" spans="1:19">
      <c r="A6" s="1757"/>
      <c r="B6" s="1761"/>
      <c r="C6" s="1762"/>
      <c r="D6" s="1763"/>
      <c r="E6" s="1764"/>
      <c r="F6" s="1765"/>
      <c r="G6" s="1761"/>
      <c r="H6" s="1761"/>
      <c r="I6" s="1761"/>
      <c r="J6" s="1761"/>
      <c r="K6" s="1783"/>
      <c r="L6" s="1784"/>
      <c r="M6" s="1785"/>
      <c r="N6" s="1761"/>
      <c r="O6" s="1763"/>
      <c r="P6" s="1783"/>
      <c r="Q6" s="1794"/>
      <c r="R6" s="1795"/>
      <c r="S6" s="1795"/>
    </row>
    <row r="7" spans="1:19">
      <c r="A7" s="1766">
        <v>0</v>
      </c>
      <c r="B7" s="1767" t="e">
        <f>#REF!</f>
        <v>#REF!</v>
      </c>
      <c r="C7" s="1768" t="e">
        <f>#REF!*666.67/#REF!</f>
        <v>#REF!</v>
      </c>
      <c r="D7" s="1769" t="e">
        <f>#REF!</f>
        <v>#REF!</v>
      </c>
      <c r="E7" s="1769" t="e">
        <f>#REF!</f>
        <v>#REF!</v>
      </c>
      <c r="F7" s="1769" t="e">
        <f>#REF!</f>
        <v>#REF!</v>
      </c>
      <c r="G7" s="1769" t="e">
        <f>#REF!</f>
        <v>#REF!</v>
      </c>
      <c r="H7" s="1769" t="e">
        <f>#REF!</f>
        <v>#REF!</v>
      </c>
      <c r="I7" s="1769" t="e">
        <f>#REF!</f>
        <v>#REF!</v>
      </c>
      <c r="J7" s="1769" t="e">
        <f>#REF!</f>
        <v>#REF!</v>
      </c>
      <c r="K7" s="1786" t="e">
        <f>#REF!</f>
        <v>#REF!</v>
      </c>
      <c r="L7" s="1787" t="e">
        <f>#REF!</f>
        <v>#REF!</v>
      </c>
      <c r="M7" s="1769" t="e">
        <f>#REF!</f>
        <v>#REF!</v>
      </c>
      <c r="N7" s="1769" t="e">
        <f>#REF!</f>
        <v>#REF!</v>
      </c>
      <c r="O7" s="1786" t="e">
        <f>#REF!/#REF!</f>
        <v>#REF!</v>
      </c>
      <c r="P7" s="1788" t="e">
        <f>#REF!</f>
        <v>#REF!</v>
      </c>
      <c r="Q7" s="1796" t="s">
        <v>40</v>
      </c>
      <c r="R7" s="1797" t="s">
        <v>41</v>
      </c>
      <c r="S7" s="1797" t="s">
        <v>42</v>
      </c>
    </row>
    <row r="8" spans="1:19">
      <c r="A8" s="1770">
        <v>1</v>
      </c>
      <c r="B8" s="1771" t="e">
        <f>#REF!*C8/666.67</f>
        <v>#REF!</v>
      </c>
      <c r="C8" s="1772">
        <v>140</v>
      </c>
      <c r="D8" s="1773" t="e">
        <f t="shared" ref="D8:D15" si="0">B8*1.04*10000/785800</f>
        <v>#REF!</v>
      </c>
      <c r="E8" s="1773">
        <v>3864.49037467138</v>
      </c>
      <c r="F8" s="1774">
        <v>3285.47240067514</v>
      </c>
      <c r="G8" s="1774">
        <v>3002.2635086958</v>
      </c>
      <c r="H8" s="1774">
        <v>3125.13287500561</v>
      </c>
      <c r="I8" s="1774">
        <v>50444.5028707855</v>
      </c>
      <c r="J8" s="1774">
        <v>27328.9168043274</v>
      </c>
      <c r="K8" s="1789">
        <v>0.166115283615864</v>
      </c>
      <c r="L8" s="1787">
        <v>0.0899949550002276</v>
      </c>
      <c r="M8" s="1790">
        <v>641.950914619311</v>
      </c>
      <c r="N8" s="1773">
        <v>347.784637367363</v>
      </c>
      <c r="O8" s="1789">
        <v>0.111286352061667</v>
      </c>
      <c r="P8" s="1787">
        <v>0.115608756925025</v>
      </c>
      <c r="Q8" s="1792"/>
      <c r="R8" s="1750"/>
      <c r="S8" s="1750"/>
    </row>
    <row r="9" spans="1:19">
      <c r="A9" s="1770">
        <v>2</v>
      </c>
      <c r="B9" s="1771" t="e">
        <f>#REF!*C9/666.67</f>
        <v>#REF!</v>
      </c>
      <c r="C9" s="1772">
        <v>145</v>
      </c>
      <c r="D9" s="1773" t="e">
        <f t="shared" si="0"/>
        <v>#REF!</v>
      </c>
      <c r="E9" s="1773">
        <v>3926.64520748632</v>
      </c>
      <c r="F9" s="1774">
        <v>3362.53038875068</v>
      </c>
      <c r="G9" s="1774">
        <v>3061.765109084</v>
      </c>
      <c r="H9" s="1774">
        <v>3185.71679788604</v>
      </c>
      <c r="I9" s="1774">
        <v>51115.6080494107</v>
      </c>
      <c r="J9" s="1774">
        <v>27721.5745100422</v>
      </c>
      <c r="K9" s="1789">
        <v>0.165240017144182</v>
      </c>
      <c r="L9" s="1787">
        <v>0.0896147697759001</v>
      </c>
      <c r="M9" s="1790">
        <v>650.4913215756</v>
      </c>
      <c r="N9" s="1773">
        <v>352.781553958287</v>
      </c>
      <c r="O9" s="1789">
        <v>0.110738517055999</v>
      </c>
      <c r="P9" s="1787">
        <v>0.120791902481834</v>
      </c>
      <c r="Q9" s="1792"/>
      <c r="R9" s="1776">
        <f t="shared" ref="R9:R17" si="1">L9-L8</f>
        <v>-0.00038018522432752</v>
      </c>
      <c r="S9" s="1775">
        <f t="shared" ref="S9:S17" si="2">G9-G8</f>
        <v>59.5016003881988</v>
      </c>
    </row>
    <row r="10" spans="1:19">
      <c r="A10" s="1770">
        <v>3</v>
      </c>
      <c r="B10" s="1771" t="e">
        <f>#REF!*C10/666.67</f>
        <v>#REF!</v>
      </c>
      <c r="C10" s="1772">
        <v>150</v>
      </c>
      <c r="D10" s="1773" t="e">
        <f t="shared" si="0"/>
        <v>#REF!</v>
      </c>
      <c r="E10" s="1773">
        <v>3947.57775791283</v>
      </c>
      <c r="F10" s="1774">
        <v>3374.2058414894</v>
      </c>
      <c r="G10" s="1774">
        <v>3069.13941621372</v>
      </c>
      <c r="H10" s="1774">
        <v>3193.25509327216</v>
      </c>
      <c r="I10" s="1774">
        <v>51346.2472583587</v>
      </c>
      <c r="J10" s="1774">
        <v>27867.4690279216</v>
      </c>
      <c r="K10" s="1789">
        <v>0.165525912235243</v>
      </c>
      <c r="L10" s="1787">
        <v>0.0898369107546253</v>
      </c>
      <c r="M10" s="1790">
        <v>653.426409498075</v>
      </c>
      <c r="N10" s="1773">
        <v>354.638190734558</v>
      </c>
      <c r="O10" s="1789">
        <v>0.111058521908175</v>
      </c>
      <c r="P10" s="1787">
        <v>0.111104942152417</v>
      </c>
      <c r="Q10" s="1792"/>
      <c r="R10" s="1776">
        <f t="shared" si="1"/>
        <v>0.000222140978725263</v>
      </c>
      <c r="S10" s="1775">
        <f t="shared" si="2"/>
        <v>7.37430712972036</v>
      </c>
    </row>
    <row r="11" spans="1:19">
      <c r="A11" s="1770">
        <v>4</v>
      </c>
      <c r="B11" s="1771" t="e">
        <f>#REF!*C11/666.67</f>
        <v>#REF!</v>
      </c>
      <c r="C11" s="1772">
        <v>155</v>
      </c>
      <c r="D11" s="1773" t="e">
        <f t="shared" si="0"/>
        <v>#REF!</v>
      </c>
      <c r="E11" s="1773">
        <v>4013.17306047186</v>
      </c>
      <c r="F11" s="1774">
        <v>3444.2585579217</v>
      </c>
      <c r="G11" s="1774">
        <v>3119.02366208025</v>
      </c>
      <c r="H11" s="1774">
        <v>3244.12326867707</v>
      </c>
      <c r="I11" s="1774">
        <v>52287.0167973756</v>
      </c>
      <c r="J11" s="1774">
        <v>28445.9821063683</v>
      </c>
      <c r="K11" s="1789">
        <v>0.165803598279531</v>
      </c>
      <c r="L11" s="1791">
        <v>0.0902030079112823</v>
      </c>
      <c r="M11" s="1790">
        <v>665.398533944714</v>
      </c>
      <c r="N11" s="1773">
        <v>362.000281323088</v>
      </c>
      <c r="O11" s="1789">
        <v>0.111586475402554</v>
      </c>
      <c r="P11" s="1787">
        <v>0.112855168631611</v>
      </c>
      <c r="Q11" s="1792"/>
      <c r="R11" s="1776">
        <f t="shared" si="1"/>
        <v>0.000366097156656989</v>
      </c>
      <c r="S11" s="1775">
        <f t="shared" si="2"/>
        <v>49.8842458665322</v>
      </c>
    </row>
    <row r="12" spans="1:19">
      <c r="A12" s="1770">
        <v>5</v>
      </c>
      <c r="B12" s="1771" t="e">
        <f>#REF!*C12/666.67</f>
        <v>#REF!</v>
      </c>
      <c r="C12" s="1772">
        <v>160</v>
      </c>
      <c r="D12" s="1773" t="e">
        <f t="shared" si="0"/>
        <v>#REF!</v>
      </c>
      <c r="E12" s="1773">
        <v>4060.77885874047</v>
      </c>
      <c r="F12" s="1774">
        <v>3495.09932481417</v>
      </c>
      <c r="G12" s="1774">
        <v>3157.49019060513</v>
      </c>
      <c r="H12" s="1774">
        <v>3283.30388417598</v>
      </c>
      <c r="I12" s="1774">
        <v>52791.9513870452</v>
      </c>
      <c r="J12" s="1774">
        <v>28746.6926019861</v>
      </c>
      <c r="K12" s="1789">
        <v>0.165442220952538</v>
      </c>
      <c r="L12" s="1791">
        <v>0.0900879119668143</v>
      </c>
      <c r="M12" s="1790">
        <v>671.824273187137</v>
      </c>
      <c r="N12" s="1773">
        <v>365.827088342912</v>
      </c>
      <c r="O12" s="1789">
        <v>0.111420417131059</v>
      </c>
      <c r="P12" s="1787">
        <v>0.111792085529676</v>
      </c>
      <c r="Q12" s="1792"/>
      <c r="R12" s="1776">
        <f t="shared" si="1"/>
        <v>-0.000115095944468027</v>
      </c>
      <c r="S12" s="1775">
        <f t="shared" si="2"/>
        <v>38.4665285248784</v>
      </c>
    </row>
    <row r="13" spans="1:19">
      <c r="A13" s="1770">
        <v>6</v>
      </c>
      <c r="B13" s="1771" t="e">
        <f>#REF!*C13/666.67</f>
        <v>#REF!</v>
      </c>
      <c r="C13" s="1772">
        <v>165</v>
      </c>
      <c r="D13" s="1773" t="e">
        <f t="shared" si="0"/>
        <v>#REF!</v>
      </c>
      <c r="E13" s="1773">
        <v>4111.56601431042</v>
      </c>
      <c r="F13" s="1774">
        <v>3549.33763257016</v>
      </c>
      <c r="G13" s="1774">
        <v>3197.82424096573</v>
      </c>
      <c r="H13" s="1774">
        <v>3324.39974187013</v>
      </c>
      <c r="I13" s="1774">
        <v>53385.8776773682</v>
      </c>
      <c r="J13" s="1774">
        <v>29104.5151269214</v>
      </c>
      <c r="K13" s="1789">
        <v>0.165236921446569</v>
      </c>
      <c r="L13" s="1791">
        <v>0.0900826340035299</v>
      </c>
      <c r="M13" s="1790">
        <v>679.382510528992</v>
      </c>
      <c r="N13" s="1773">
        <v>370.380696448477</v>
      </c>
      <c r="O13" s="1789">
        <v>0.111412803876624</v>
      </c>
      <c r="P13" s="1787">
        <v>0.111216072717895</v>
      </c>
      <c r="Q13" s="1792"/>
      <c r="R13" s="1776">
        <f t="shared" si="1"/>
        <v>-5.27796328440855e-6</v>
      </c>
      <c r="S13" s="1775">
        <f t="shared" si="2"/>
        <v>40.3340503606005</v>
      </c>
    </row>
    <row r="14" spans="1:19">
      <c r="A14" s="1770">
        <v>7</v>
      </c>
      <c r="B14" s="1771" t="e">
        <f>#REF!*C14/666.67</f>
        <v>#REF!</v>
      </c>
      <c r="C14" s="1772">
        <v>170</v>
      </c>
      <c r="D14" s="1773" t="e">
        <f t="shared" si="0"/>
        <v>#REF!</v>
      </c>
      <c r="E14" s="1773">
        <v>4159.42052438304</v>
      </c>
      <c r="F14" s="1774">
        <v>3600.44401204157</v>
      </c>
      <c r="G14" s="1774">
        <v>3236.03998247869</v>
      </c>
      <c r="H14" s="1774">
        <v>3363.33330103418</v>
      </c>
      <c r="I14" s="1774">
        <v>53928.9488889004</v>
      </c>
      <c r="J14" s="1774">
        <v>29430.5807442628</v>
      </c>
      <c r="K14" s="1789">
        <v>0.164997399996316</v>
      </c>
      <c r="L14" s="1791">
        <v>0.0900438336595217</v>
      </c>
      <c r="M14" s="1790">
        <v>686.293572014513</v>
      </c>
      <c r="N14" s="1773">
        <v>374.530169817546</v>
      </c>
      <c r="O14" s="1789">
        <v>0.111356840460142</v>
      </c>
      <c r="P14" s="1787">
        <v>0.110244285175883</v>
      </c>
      <c r="Q14" s="1792"/>
      <c r="R14" s="1776">
        <f t="shared" si="1"/>
        <v>-3.88003440082163e-5</v>
      </c>
      <c r="S14" s="1775">
        <f t="shared" si="2"/>
        <v>38.2157415129586</v>
      </c>
    </row>
    <row r="15" spans="1:19">
      <c r="A15" s="1770">
        <v>8</v>
      </c>
      <c r="B15" s="1771" t="e">
        <f>#REF!*C15/666.67</f>
        <v>#REF!</v>
      </c>
      <c r="C15" s="1772">
        <v>175</v>
      </c>
      <c r="D15" s="1773" t="e">
        <f t="shared" si="0"/>
        <v>#REF!</v>
      </c>
      <c r="E15" s="1773">
        <v>4203.15072608906</v>
      </c>
      <c r="F15" s="1774">
        <v>3647.14582299644</v>
      </c>
      <c r="G15" s="1774">
        <v>3270.14702811138</v>
      </c>
      <c r="H15" s="1774">
        <v>3398.09629969246</v>
      </c>
      <c r="I15" s="1774">
        <v>54489.2662958899</v>
      </c>
      <c r="J15" s="1774">
        <v>29771.4583984826</v>
      </c>
      <c r="K15" s="1789">
        <v>0.164977216326435</v>
      </c>
      <c r="L15" s="1791">
        <v>0.0901390799774892</v>
      </c>
      <c r="M15" s="1790">
        <v>693.424106590606</v>
      </c>
      <c r="N15" s="1773">
        <v>378.868139456383</v>
      </c>
      <c r="O15" s="1789">
        <v>0.111494232665117</v>
      </c>
      <c r="P15" s="1787">
        <v>0.108633562963336</v>
      </c>
      <c r="Q15" s="1792"/>
      <c r="R15" s="1776">
        <f t="shared" si="1"/>
        <v>9.52463179675067e-5</v>
      </c>
      <c r="S15" s="1775">
        <f t="shared" si="2"/>
        <v>34.1070456326879</v>
      </c>
    </row>
    <row r="16" spans="1:19">
      <c r="A16" s="1770">
        <v>9</v>
      </c>
      <c r="B16" s="1771" t="e">
        <f>#REF!*C16/666.67</f>
        <v>#REF!</v>
      </c>
      <c r="C16" s="1772">
        <v>180</v>
      </c>
      <c r="D16" s="1773">
        <v>1148.39399338254</v>
      </c>
      <c r="E16" s="1773">
        <v>4258.45941098202</v>
      </c>
      <c r="F16" s="1774">
        <v>3706.21291267963</v>
      </c>
      <c r="G16" s="1774">
        <v>3314.83752447113</v>
      </c>
      <c r="H16" s="1774">
        <v>3443.6164263256</v>
      </c>
      <c r="I16" s="1774">
        <v>55075.912632673</v>
      </c>
      <c r="J16" s="1774">
        <v>30120.8325717155</v>
      </c>
      <c r="K16" s="1789">
        <v>0.164587620179592</v>
      </c>
      <c r="L16" s="1791">
        <v>0.0900124194740194</v>
      </c>
      <c r="M16" s="1790">
        <v>700.88970008492</v>
      </c>
      <c r="N16" s="1773">
        <v>383.314234814399</v>
      </c>
      <c r="O16" s="1789">
        <v>0.111311536291922</v>
      </c>
      <c r="P16" s="1787">
        <v>0.108896545677037</v>
      </c>
      <c r="Q16" s="1792"/>
      <c r="R16" s="1776">
        <f t="shared" si="1"/>
        <v>-0.000126660503469753</v>
      </c>
      <c r="S16" s="1775">
        <f t="shared" si="2"/>
        <v>44.690496359749</v>
      </c>
    </row>
    <row r="17" spans="1:19">
      <c r="A17" s="1770">
        <v>10</v>
      </c>
      <c r="B17" s="1771" t="e">
        <f>#REF!*C17/666.67</f>
        <v>#REF!</v>
      </c>
      <c r="C17" s="1772">
        <v>185</v>
      </c>
      <c r="D17" s="1773">
        <v>1174.8638330364</v>
      </c>
      <c r="E17" s="1773">
        <v>4306.16541190222</v>
      </c>
      <c r="F17" s="1774">
        <v>3757.16069131934</v>
      </c>
      <c r="G17" s="1774">
        <v>3352.54200296884</v>
      </c>
      <c r="H17" s="1774">
        <v>3482.03649483712</v>
      </c>
      <c r="I17" s="1774">
        <v>55648.1542241505</v>
      </c>
      <c r="J17" s="1774">
        <v>30466.5596256047</v>
      </c>
      <c r="K17" s="1789">
        <v>0.164455359401098</v>
      </c>
      <c r="L17" s="1791">
        <v>0.0900369308344348</v>
      </c>
      <c r="M17" s="1790">
        <v>708.171980454957</v>
      </c>
      <c r="N17" s="1773">
        <v>387.713917353076</v>
      </c>
      <c r="O17" s="1789">
        <v>0.111346885056474</v>
      </c>
      <c r="P17" s="1787">
        <v>0.10797927760302</v>
      </c>
      <c r="Q17" s="1792"/>
      <c r="R17" s="1776">
        <f t="shared" si="1"/>
        <v>2.45113604153968e-5</v>
      </c>
      <c r="S17" s="1775">
        <f t="shared" si="2"/>
        <v>37.7044784977138</v>
      </c>
    </row>
    <row r="18" spans="1:69">
      <c r="A18" s="1750"/>
      <c r="B18" s="1750"/>
      <c r="C18" s="1751"/>
      <c r="D18" s="1750"/>
      <c r="E18" s="1775"/>
      <c r="F18" s="1750"/>
      <c r="G18" s="1750"/>
      <c r="H18" s="1750"/>
      <c r="I18" s="1750"/>
      <c r="J18" s="1776"/>
      <c r="K18" s="1777"/>
      <c r="L18" s="1778"/>
      <c r="M18" s="1750"/>
      <c r="N18" s="1750"/>
      <c r="O18" s="1776"/>
      <c r="P18" s="1750"/>
      <c r="Q18" s="1750"/>
      <c r="R18" s="1750"/>
      <c r="S18" s="1750"/>
      <c r="T18" s="1750"/>
      <c r="U18" s="1750"/>
      <c r="V18" s="1750"/>
      <c r="W18" s="1750"/>
      <c r="X18" s="1750"/>
      <c r="Y18" s="1750"/>
      <c r="Z18" s="1750"/>
      <c r="AA18" s="1750"/>
      <c r="AB18" s="1750"/>
      <c r="AC18" s="1750"/>
      <c r="AD18" s="1750"/>
      <c r="AE18" s="1750"/>
      <c r="AF18" s="1750"/>
      <c r="AG18" s="1750"/>
      <c r="AH18" s="1750"/>
      <c r="AI18" s="1750"/>
      <c r="AJ18" s="1750"/>
      <c r="AK18" s="1750"/>
      <c r="AL18" s="1750"/>
      <c r="AM18" s="1750"/>
      <c r="AN18" s="1750"/>
      <c r="AO18" s="1750"/>
      <c r="AP18" s="1750"/>
      <c r="AQ18" s="1750"/>
      <c r="AR18" s="1750"/>
      <c r="AS18" s="1750"/>
      <c r="AT18" s="1750"/>
      <c r="AU18" s="1750"/>
      <c r="AV18" s="1750"/>
      <c r="AW18" s="1750"/>
      <c r="AX18" s="1750"/>
      <c r="AY18" s="1750"/>
      <c r="AZ18" s="1750"/>
      <c r="BA18" s="1750"/>
      <c r="BB18" s="1750"/>
      <c r="BC18" s="1750"/>
      <c r="BD18" s="1750"/>
      <c r="BE18" s="1750"/>
      <c r="BF18" s="1750"/>
      <c r="BG18" s="1750"/>
      <c r="BH18" s="1750"/>
      <c r="BI18" s="1750"/>
      <c r="BJ18" s="1750"/>
      <c r="BK18" s="1750"/>
      <c r="BL18" s="1750"/>
      <c r="BM18" s="1750"/>
      <c r="BN18" s="1750"/>
      <c r="BO18" s="1750"/>
      <c r="BP18" s="1750"/>
      <c r="BQ18" s="1750"/>
    </row>
    <row r="19" spans="1:69">
      <c r="A19" s="1750"/>
      <c r="B19" s="1750"/>
      <c r="C19" s="1751"/>
      <c r="D19" s="1750"/>
      <c r="E19" s="1775"/>
      <c r="F19" s="1750"/>
      <c r="G19" s="1750"/>
      <c r="H19" s="1750"/>
      <c r="I19" s="1750"/>
      <c r="J19" s="1776"/>
      <c r="K19" s="1777"/>
      <c r="L19" s="1778"/>
      <c r="M19" s="1750"/>
      <c r="N19" s="1750"/>
      <c r="O19" s="1776"/>
      <c r="P19" s="1750"/>
      <c r="Q19" s="1750"/>
      <c r="R19" s="1750"/>
      <c r="S19" s="1750"/>
      <c r="T19" s="1750"/>
      <c r="U19" s="1750"/>
      <c r="V19" s="1750"/>
      <c r="W19" s="1750"/>
      <c r="X19" s="1750"/>
      <c r="Y19" s="1750"/>
      <c r="Z19" s="1750"/>
      <c r="AA19" s="1750"/>
      <c r="AB19" s="1750"/>
      <c r="AC19" s="1750"/>
      <c r="AD19" s="1750"/>
      <c r="AE19" s="1750"/>
      <c r="AF19" s="1750"/>
      <c r="AG19" s="1750"/>
      <c r="AH19" s="1750"/>
      <c r="AI19" s="1750"/>
      <c r="AJ19" s="1750"/>
      <c r="AK19" s="1750"/>
      <c r="AL19" s="1750"/>
      <c r="AM19" s="1750"/>
      <c r="AN19" s="1750"/>
      <c r="AO19" s="1750"/>
      <c r="AP19" s="1750"/>
      <c r="AQ19" s="1750"/>
      <c r="AR19" s="1750"/>
      <c r="AS19" s="1750"/>
      <c r="AT19" s="1750"/>
      <c r="AU19" s="1750"/>
      <c r="AV19" s="1750"/>
      <c r="AW19" s="1750"/>
      <c r="AX19" s="1750"/>
      <c r="AY19" s="1750"/>
      <c r="AZ19" s="1750"/>
      <c r="BA19" s="1750"/>
      <c r="BB19" s="1750"/>
      <c r="BC19" s="1750"/>
      <c r="BD19" s="1750"/>
      <c r="BE19" s="1750"/>
      <c r="BF19" s="1750"/>
      <c r="BG19" s="1750"/>
      <c r="BH19" s="1750"/>
      <c r="BI19" s="1750"/>
      <c r="BJ19" s="1750"/>
      <c r="BK19" s="1750"/>
      <c r="BL19" s="1750"/>
      <c r="BM19" s="1750"/>
      <c r="BN19" s="1750"/>
      <c r="BO19" s="1750"/>
      <c r="BP19" s="1750"/>
      <c r="BQ19" s="1750"/>
    </row>
    <row r="20" spans="1:69">
      <c r="A20" s="1750"/>
      <c r="B20" s="1750"/>
      <c r="C20" s="1751"/>
      <c r="D20" s="1750"/>
      <c r="E20" s="1775">
        <f t="shared" ref="E20:E28" si="3">E9-E8</f>
        <v>62.1548328149402</v>
      </c>
      <c r="F20" s="1750"/>
      <c r="G20" s="1750"/>
      <c r="H20" s="1750"/>
      <c r="I20" s="1750"/>
      <c r="J20" s="1776"/>
      <c r="K20" s="1777"/>
      <c r="L20" s="1778"/>
      <c r="M20" s="1750"/>
      <c r="N20" s="1750"/>
      <c r="O20" s="1776"/>
      <c r="P20" s="1750"/>
      <c r="Q20" s="1750"/>
      <c r="R20" s="1750"/>
      <c r="S20" s="1750"/>
      <c r="T20" s="1750"/>
      <c r="U20" s="1750"/>
      <c r="V20" s="1750"/>
      <c r="W20" s="1750"/>
      <c r="X20" s="1750"/>
      <c r="Y20" s="1750"/>
      <c r="Z20" s="1750"/>
      <c r="AA20" s="1750"/>
      <c r="AB20" s="1750"/>
      <c r="AC20" s="1750"/>
      <c r="AD20" s="1750"/>
      <c r="AE20" s="1750"/>
      <c r="AF20" s="1750"/>
      <c r="AG20" s="1750"/>
      <c r="AH20" s="1750"/>
      <c r="AI20" s="1750"/>
      <c r="AJ20" s="1750"/>
      <c r="AK20" s="1750"/>
      <c r="AL20" s="1750"/>
      <c r="AM20" s="1750"/>
      <c r="AN20" s="1750"/>
      <c r="AO20" s="1750"/>
      <c r="AP20" s="1750"/>
      <c r="AQ20" s="1750"/>
      <c r="AR20" s="1750"/>
      <c r="AS20" s="1750"/>
      <c r="AT20" s="1750"/>
      <c r="AU20" s="1750"/>
      <c r="AV20" s="1750"/>
      <c r="AW20" s="1750"/>
      <c r="AX20" s="1750"/>
      <c r="AY20" s="1750"/>
      <c r="AZ20" s="1750"/>
      <c r="BA20" s="1750"/>
      <c r="BB20" s="1750"/>
      <c r="BC20" s="1750"/>
      <c r="BD20" s="1750"/>
      <c r="BE20" s="1750"/>
      <c r="BF20" s="1750"/>
      <c r="BG20" s="1750"/>
      <c r="BH20" s="1750"/>
      <c r="BI20" s="1750"/>
      <c r="BJ20" s="1750"/>
      <c r="BK20" s="1750"/>
      <c r="BL20" s="1750"/>
      <c r="BM20" s="1750"/>
      <c r="BN20" s="1750"/>
      <c r="BO20" s="1750"/>
      <c r="BP20" s="1750"/>
      <c r="BQ20" s="1750"/>
    </row>
    <row r="21" spans="1:69">
      <c r="A21" s="1750"/>
      <c r="B21" s="1750"/>
      <c r="C21" s="1751"/>
      <c r="D21" s="1750"/>
      <c r="E21" s="1775">
        <f t="shared" si="3"/>
        <v>20.9325504265062</v>
      </c>
      <c r="F21" s="1750"/>
      <c r="G21" s="1750"/>
      <c r="H21" s="1750"/>
      <c r="I21" s="1750"/>
      <c r="J21" s="1776"/>
      <c r="K21" s="1777"/>
      <c r="L21" s="1778"/>
      <c r="M21" s="1750"/>
      <c r="N21" s="1750"/>
      <c r="O21" s="1776"/>
      <c r="P21" s="1750"/>
      <c r="Q21" s="1750"/>
      <c r="R21" s="1750"/>
      <c r="S21" s="1750"/>
      <c r="T21" s="1750"/>
      <c r="U21" s="1750"/>
      <c r="V21" s="1750"/>
      <c r="W21" s="1750"/>
      <c r="X21" s="1750"/>
      <c r="Y21" s="1750"/>
      <c r="Z21" s="1750"/>
      <c r="AA21" s="1750"/>
      <c r="AB21" s="1750"/>
      <c r="AC21" s="1750"/>
      <c r="AD21" s="1750"/>
      <c r="AE21" s="1750"/>
      <c r="AF21" s="1750"/>
      <c r="AG21" s="1750"/>
      <c r="AH21" s="1750"/>
      <c r="AI21" s="1750"/>
      <c r="AJ21" s="1750"/>
      <c r="AK21" s="1750"/>
      <c r="AL21" s="1750"/>
      <c r="AM21" s="1750"/>
      <c r="AN21" s="1750"/>
      <c r="AO21" s="1750"/>
      <c r="AP21" s="1750"/>
      <c r="AQ21" s="1750"/>
      <c r="AR21" s="1750"/>
      <c r="AS21" s="1750"/>
      <c r="AT21" s="1750"/>
      <c r="AU21" s="1750"/>
      <c r="AV21" s="1750"/>
      <c r="AW21" s="1750"/>
      <c r="AX21" s="1750"/>
      <c r="AY21" s="1750"/>
      <c r="AZ21" s="1750"/>
      <c r="BA21" s="1750"/>
      <c r="BB21" s="1750"/>
      <c r="BC21" s="1750"/>
      <c r="BD21" s="1750"/>
      <c r="BE21" s="1750"/>
      <c r="BF21" s="1750"/>
      <c r="BG21" s="1750"/>
      <c r="BH21" s="1750"/>
      <c r="BI21" s="1750"/>
      <c r="BJ21" s="1750"/>
      <c r="BK21" s="1750"/>
      <c r="BL21" s="1750"/>
      <c r="BM21" s="1750"/>
      <c r="BN21" s="1750"/>
      <c r="BO21" s="1750"/>
      <c r="BP21" s="1750"/>
      <c r="BQ21" s="1750"/>
    </row>
    <row r="22" spans="1:69">
      <c r="A22" s="1750"/>
      <c r="B22" s="1750"/>
      <c r="C22" s="1751"/>
      <c r="D22" s="1750"/>
      <c r="E22" s="1775">
        <f t="shared" si="3"/>
        <v>65.5953025590361</v>
      </c>
      <c r="F22" s="1750"/>
      <c r="G22" s="1750"/>
      <c r="H22" s="1750"/>
      <c r="I22" s="1750"/>
      <c r="J22" s="1776"/>
      <c r="K22" s="1777"/>
      <c r="L22" s="1778"/>
      <c r="M22" s="1750"/>
      <c r="N22" s="1750"/>
      <c r="O22" s="1776"/>
      <c r="P22" s="1750"/>
      <c r="Q22" s="1750"/>
      <c r="R22" s="1750"/>
      <c r="S22" s="1750"/>
      <c r="T22" s="1750"/>
      <c r="U22" s="1750"/>
      <c r="V22" s="1750"/>
      <c r="W22" s="1750"/>
      <c r="X22" s="1750"/>
      <c r="Y22" s="1750"/>
      <c r="Z22" s="1750"/>
      <c r="AA22" s="1750"/>
      <c r="AB22" s="1750"/>
      <c r="AC22" s="1750"/>
      <c r="AD22" s="1750"/>
      <c r="AE22" s="1750"/>
      <c r="AF22" s="1750"/>
      <c r="AG22" s="1750"/>
      <c r="AH22" s="1750"/>
      <c r="AI22" s="1750"/>
      <c r="AJ22" s="1750"/>
      <c r="AK22" s="1750"/>
      <c r="AL22" s="1750"/>
      <c r="AM22" s="1750"/>
      <c r="AN22" s="1750"/>
      <c r="AO22" s="1750"/>
      <c r="AP22" s="1750"/>
      <c r="AQ22" s="1750"/>
      <c r="AR22" s="1750"/>
      <c r="AS22" s="1750"/>
      <c r="AT22" s="1750"/>
      <c r="AU22" s="1750"/>
      <c r="AV22" s="1750"/>
      <c r="AW22" s="1750"/>
      <c r="AX22" s="1750"/>
      <c r="AY22" s="1750"/>
      <c r="AZ22" s="1750"/>
      <c r="BA22" s="1750"/>
      <c r="BB22" s="1750"/>
      <c r="BC22" s="1750"/>
      <c r="BD22" s="1750"/>
      <c r="BE22" s="1750"/>
      <c r="BF22" s="1750"/>
      <c r="BG22" s="1750"/>
      <c r="BH22" s="1750"/>
      <c r="BI22" s="1750"/>
      <c r="BJ22" s="1750"/>
      <c r="BK22" s="1750"/>
      <c r="BL22" s="1750"/>
      <c r="BM22" s="1750"/>
      <c r="BN22" s="1750"/>
      <c r="BO22" s="1750"/>
      <c r="BP22" s="1750"/>
      <c r="BQ22" s="1750"/>
    </row>
    <row r="23" spans="1:69">
      <c r="A23" s="1750"/>
      <c r="B23" s="1750"/>
      <c r="C23" s="1751"/>
      <c r="D23" s="1750"/>
      <c r="E23" s="1775">
        <f t="shared" si="3"/>
        <v>47.6057982686111</v>
      </c>
      <c r="F23" s="1750"/>
      <c r="G23" s="1750"/>
      <c r="H23" s="1750"/>
      <c r="I23" s="1750"/>
      <c r="J23" s="1776"/>
      <c r="K23" s="1777"/>
      <c r="L23" s="1778"/>
      <c r="M23" s="1750"/>
      <c r="N23" s="1750"/>
      <c r="O23" s="1776"/>
      <c r="P23" s="1750"/>
      <c r="Q23" s="1750"/>
      <c r="R23" s="1750"/>
      <c r="S23" s="1750"/>
      <c r="T23" s="1750"/>
      <c r="U23" s="1750"/>
      <c r="V23" s="1750"/>
      <c r="W23" s="1750"/>
      <c r="X23" s="1750"/>
      <c r="Y23" s="1750"/>
      <c r="Z23" s="1750"/>
      <c r="AA23" s="1750"/>
      <c r="AB23" s="1750"/>
      <c r="AC23" s="1750"/>
      <c r="AD23" s="1750"/>
      <c r="AE23" s="1750"/>
      <c r="AF23" s="1750"/>
      <c r="AG23" s="1750"/>
      <c r="AH23" s="1750"/>
      <c r="AI23" s="1750"/>
      <c r="AJ23" s="1750"/>
      <c r="AK23" s="1750"/>
      <c r="AL23" s="1750"/>
      <c r="AM23" s="1750"/>
      <c r="AN23" s="1750"/>
      <c r="AO23" s="1750"/>
      <c r="AP23" s="1750"/>
      <c r="AQ23" s="1750"/>
      <c r="AR23" s="1750"/>
      <c r="AS23" s="1750"/>
      <c r="AT23" s="1750"/>
      <c r="AU23" s="1750"/>
      <c r="AV23" s="1750"/>
      <c r="AW23" s="1750"/>
      <c r="AX23" s="1750"/>
      <c r="AY23" s="1750"/>
      <c r="AZ23" s="1750"/>
      <c r="BA23" s="1750"/>
      <c r="BB23" s="1750"/>
      <c r="BC23" s="1750"/>
      <c r="BD23" s="1750"/>
      <c r="BE23" s="1750"/>
      <c r="BF23" s="1750"/>
      <c r="BG23" s="1750"/>
      <c r="BH23" s="1750"/>
      <c r="BI23" s="1750"/>
      <c r="BJ23" s="1750"/>
      <c r="BK23" s="1750"/>
      <c r="BL23" s="1750"/>
      <c r="BM23" s="1750"/>
      <c r="BN23" s="1750"/>
      <c r="BO23" s="1750"/>
      <c r="BP23" s="1750"/>
      <c r="BQ23" s="1750"/>
    </row>
    <row r="24" spans="5:5">
      <c r="E24" s="1775">
        <f t="shared" si="3"/>
        <v>50.7871555699435</v>
      </c>
    </row>
    <row r="25" spans="5:5">
      <c r="E25" s="1775">
        <f t="shared" si="3"/>
        <v>47.8545100726196</v>
      </c>
    </row>
    <row r="26" spans="5:5">
      <c r="E26" s="1775">
        <f t="shared" si="3"/>
        <v>43.7302017060238</v>
      </c>
    </row>
    <row r="27" spans="5:5">
      <c r="E27" s="1775">
        <f t="shared" si="3"/>
        <v>55.3086848929606</v>
      </c>
    </row>
    <row r="28" spans="5:5">
      <c r="E28" s="1775">
        <f t="shared" si="3"/>
        <v>47.7060009202032</v>
      </c>
    </row>
    <row r="29" spans="5:5">
      <c r="E29" s="1775"/>
    </row>
  </sheetData>
  <mergeCells count="21">
    <mergeCell ref="A1:P1"/>
    <mergeCell ref="C4:D4"/>
    <mergeCell ref="G4:H4"/>
    <mergeCell ref="I4:P4"/>
    <mergeCell ref="A4:A6"/>
    <mergeCell ref="B4:B6"/>
    <mergeCell ref="C5:C6"/>
    <mergeCell ref="D5:D6"/>
    <mergeCell ref="E5:E6"/>
    <mergeCell ref="F5:F6"/>
    <mergeCell ref="G5:G6"/>
    <mergeCell ref="H5:H6"/>
    <mergeCell ref="I5:I6"/>
    <mergeCell ref="J5:J6"/>
    <mergeCell ref="K5:K6"/>
    <mergeCell ref="L5:L6"/>
    <mergeCell ref="M5:M6"/>
    <mergeCell ref="N5:N6"/>
    <mergeCell ref="O5:O6"/>
    <mergeCell ref="P5:P6"/>
    <mergeCell ref="Q5:Q6"/>
  </mergeCells>
  <pageMargins left="0.75" right="0.75" top="1" bottom="1" header="0.5" footer="0.5"/>
  <pageSetup paperSize="9" orientation="portrait"/>
  <headerFooter alignWithMargins="0"/>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outlinePr summaryBelow="0"/>
  </sheetPr>
  <dimension ref="A1:AA202"/>
  <sheetViews>
    <sheetView zoomScale="70" zoomScaleNormal="70" workbookViewId="0">
      <pane xSplit="4" ySplit="3" topLeftCell="E169" activePane="bottomRight" state="frozen"/>
      <selection/>
      <selection pane="topRight"/>
      <selection pane="bottomLeft"/>
      <selection pane="bottomRight" activeCell="A1" sqref="A1"/>
    </sheetView>
  </sheetViews>
  <sheetFormatPr defaultColWidth="9" defaultRowHeight="24" customHeight="1"/>
  <cols>
    <col min="1" max="1" width="3.4" style="168" customWidth="1"/>
    <col min="2" max="2" width="17.6" style="168" customWidth="1"/>
    <col min="3" max="3" width="5.1" style="166" customWidth="1"/>
    <col min="4" max="4" width="27.5" style="168" customWidth="1"/>
    <col min="5" max="5" width="19.6" style="166" customWidth="1"/>
    <col min="6" max="6" width="10.6" style="166" customWidth="1"/>
    <col min="7" max="7" width="8.4" style="166" customWidth="1"/>
    <col min="8" max="8" width="7.1" style="166" customWidth="1"/>
    <col min="9" max="11" width="9" style="458" customWidth="1"/>
    <col min="12" max="12" width="15.4" style="166" customWidth="1"/>
    <col min="13" max="13" width="15.1" style="166" customWidth="1"/>
    <col min="14" max="14" width="12.1" style="459" customWidth="1"/>
    <col min="15" max="15" width="11.5" style="169" customWidth="1"/>
    <col min="16" max="16" width="12.1" style="169" customWidth="1"/>
    <col min="17" max="17" width="2.6" style="169" customWidth="1"/>
    <col min="18" max="18" width="9" style="168" customWidth="1"/>
    <col min="19" max="19" width="12.4" style="168" customWidth="1"/>
    <col min="20" max="20" width="20.6" style="168" customWidth="1"/>
    <col min="21" max="21" width="9.4" style="168" customWidth="1"/>
    <col min="22" max="22" width="26.6" style="168" customWidth="1"/>
    <col min="23" max="25" width="9.1" style="168" hidden="1" customWidth="1"/>
    <col min="26" max="26" width="9.1" style="168" customWidth="1"/>
    <col min="27" max="27" width="9.1" style="460" customWidth="1"/>
    <col min="28" max="28" width="9.1" style="168" customWidth="1"/>
    <col min="29" max="16384" width="9" style="168"/>
  </cols>
  <sheetData>
    <row r="1" s="456" customFormat="1" ht="23.4" customHeight="1" spans="3:27">
      <c r="C1" s="461"/>
      <c r="D1" s="462" t="s">
        <v>1957</v>
      </c>
      <c r="E1" s="375" t="s">
        <v>505</v>
      </c>
      <c r="F1" s="482"/>
      <c r="G1" s="482"/>
      <c r="I1" s="482"/>
      <c r="J1" s="482"/>
      <c r="K1" s="482"/>
      <c r="L1" s="482"/>
      <c r="M1" s="482"/>
      <c r="N1" s="482"/>
      <c r="O1" s="482"/>
      <c r="P1" s="483"/>
      <c r="Q1" s="544"/>
      <c r="U1" s="456">
        <v>418</v>
      </c>
      <c r="AA1" s="501"/>
    </row>
    <row r="2" s="456" customFormat="1" ht="23.4" customHeight="1" spans="3:27">
      <c r="C2" s="461"/>
      <c r="D2" s="462"/>
      <c r="E2" s="541">
        <v>34604.4716028656</v>
      </c>
      <c r="F2" s="482"/>
      <c r="G2" s="482"/>
      <c r="I2" s="482"/>
      <c r="J2" s="482"/>
      <c r="K2" s="482"/>
      <c r="L2" s="482"/>
      <c r="M2" s="482"/>
      <c r="N2" s="482"/>
      <c r="O2" s="482"/>
      <c r="P2" s="483"/>
      <c r="Q2" s="544"/>
      <c r="AA2" s="501"/>
    </row>
    <row r="3" s="166" customFormat="1" customHeight="1" spans="2:16">
      <c r="B3" s="466" t="s">
        <v>21</v>
      </c>
      <c r="C3" s="466"/>
      <c r="D3" s="466" t="s">
        <v>494</v>
      </c>
      <c r="E3" s="467" t="s">
        <v>605</v>
      </c>
      <c r="F3" s="467" t="s">
        <v>606</v>
      </c>
      <c r="G3" s="467" t="s">
        <v>607</v>
      </c>
      <c r="H3" s="467" t="s">
        <v>608</v>
      </c>
      <c r="I3" s="467" t="s">
        <v>1525</v>
      </c>
      <c r="J3" s="485" t="s">
        <v>610</v>
      </c>
      <c r="K3" s="486" t="s">
        <v>611</v>
      </c>
      <c r="L3" s="485" t="s">
        <v>612</v>
      </c>
      <c r="M3" s="485" t="s">
        <v>613</v>
      </c>
      <c r="N3" s="52" t="s">
        <v>614</v>
      </c>
      <c r="O3" s="487" t="s">
        <v>1526</v>
      </c>
      <c r="P3" s="466" t="s">
        <v>1300</v>
      </c>
    </row>
    <row r="4" ht="16.5" customHeight="1" spans="2:27">
      <c r="B4" s="468" t="s">
        <v>875</v>
      </c>
      <c r="C4" s="469" t="s">
        <v>533</v>
      </c>
      <c r="D4" s="468" t="s">
        <v>481</v>
      </c>
      <c r="E4" s="192"/>
      <c r="F4" s="192"/>
      <c r="G4" s="192"/>
      <c r="H4" s="192"/>
      <c r="I4" s="488"/>
      <c r="J4" s="192"/>
      <c r="K4" s="489"/>
      <c r="L4" s="542">
        <v>7394.6904926917</v>
      </c>
      <c r="M4" s="542">
        <v>847.07675273637</v>
      </c>
      <c r="N4" s="490">
        <v>8241.76724542807</v>
      </c>
      <c r="O4" s="491">
        <v>2381.70585004557</v>
      </c>
      <c r="P4" s="230"/>
      <c r="Q4" s="168"/>
      <c r="AA4" s="168"/>
    </row>
    <row r="5" ht="16.5" customHeight="1" outlineLevel="1" spans="2:27">
      <c r="B5" s="121" t="s">
        <v>534</v>
      </c>
      <c r="C5" s="193">
        <v>1</v>
      </c>
      <c r="D5" s="121" t="s">
        <v>1527</v>
      </c>
      <c r="E5" s="193"/>
      <c r="F5" s="193"/>
      <c r="G5" s="193"/>
      <c r="H5" s="155"/>
      <c r="I5" s="492"/>
      <c r="J5" s="155"/>
      <c r="K5" s="493"/>
      <c r="L5" s="494">
        <v>6082.14288479501</v>
      </c>
      <c r="M5" s="494">
        <v>684.010101202186</v>
      </c>
      <c r="N5" s="494">
        <v>6766.1529859972</v>
      </c>
      <c r="O5" s="495">
        <v>1955.28285004557</v>
      </c>
      <c r="P5" s="233"/>
      <c r="Q5" s="168"/>
      <c r="AA5" s="168"/>
    </row>
    <row r="6" ht="16.5" customHeight="1" outlineLevel="2" spans="2:27">
      <c r="B6" s="470" t="s">
        <v>1528</v>
      </c>
      <c r="C6" s="471" t="s">
        <v>619</v>
      </c>
      <c r="D6" s="470" t="s">
        <v>1529</v>
      </c>
      <c r="E6" s="95" t="s">
        <v>774</v>
      </c>
      <c r="F6" s="95"/>
      <c r="G6" s="236"/>
      <c r="H6" s="472"/>
      <c r="I6" s="144"/>
      <c r="J6" s="496"/>
      <c r="K6" s="497"/>
      <c r="L6" s="499">
        <v>74.7456586621898</v>
      </c>
      <c r="M6" s="498">
        <v>8.22202245284088</v>
      </c>
      <c r="N6" s="498">
        <v>82.9676811150307</v>
      </c>
      <c r="O6" s="499">
        <v>23.976</v>
      </c>
      <c r="P6" s="309"/>
      <c r="Q6" s="168"/>
      <c r="AA6" s="168"/>
    </row>
    <row r="7" ht="16.5" customHeight="1" outlineLevel="3" spans="2:27">
      <c r="B7" s="470" t="s">
        <v>1530</v>
      </c>
      <c r="C7" s="473" t="s">
        <v>622</v>
      </c>
      <c r="D7" s="474" t="s">
        <v>1531</v>
      </c>
      <c r="E7" s="95"/>
      <c r="F7" s="95"/>
      <c r="G7" s="95">
        <v>2</v>
      </c>
      <c r="H7" s="472" t="s">
        <v>827</v>
      </c>
      <c r="I7" s="144">
        <v>3000</v>
      </c>
      <c r="J7" s="496"/>
      <c r="K7" s="497">
        <v>0.11</v>
      </c>
      <c r="L7" s="496">
        <v>0</v>
      </c>
      <c r="M7" s="496">
        <v>0</v>
      </c>
      <c r="N7" s="498">
        <v>0</v>
      </c>
      <c r="O7" s="499">
        <v>0</v>
      </c>
      <c r="P7" s="309"/>
      <c r="Q7" s="168"/>
      <c r="AA7" s="168"/>
    </row>
    <row r="8" ht="16.5" customHeight="1" outlineLevel="3" spans="2:27">
      <c r="B8" s="470" t="s">
        <v>1532</v>
      </c>
      <c r="C8" s="473" t="s">
        <v>622</v>
      </c>
      <c r="D8" s="474" t="s">
        <v>1533</v>
      </c>
      <c r="E8" s="95"/>
      <c r="F8" s="95"/>
      <c r="G8" s="95">
        <v>2</v>
      </c>
      <c r="H8" s="472" t="s">
        <v>827</v>
      </c>
      <c r="I8" s="144">
        <v>34604.4716028656</v>
      </c>
      <c r="J8" s="496">
        <v>10.8</v>
      </c>
      <c r="K8" s="497">
        <v>0.11</v>
      </c>
      <c r="L8" s="496">
        <v>74.7456586621898</v>
      </c>
      <c r="M8" s="496">
        <v>8.22202245284088</v>
      </c>
      <c r="N8" s="498">
        <v>82.9676811150307</v>
      </c>
      <c r="O8" s="499">
        <v>23.976</v>
      </c>
      <c r="P8" s="309"/>
      <c r="Q8" s="168"/>
      <c r="AA8" s="168"/>
    </row>
    <row r="9" ht="16.5" customHeight="1" outlineLevel="2" spans="2:27">
      <c r="B9" s="470" t="s">
        <v>1534</v>
      </c>
      <c r="C9" s="471" t="s">
        <v>657</v>
      </c>
      <c r="D9" s="470" t="s">
        <v>535</v>
      </c>
      <c r="E9" s="95"/>
      <c r="F9" s="95"/>
      <c r="G9" s="95"/>
      <c r="H9" s="236"/>
      <c r="I9" s="144"/>
      <c r="J9" s="500"/>
      <c r="K9" s="497"/>
      <c r="L9" s="499">
        <v>6007.39722613282</v>
      </c>
      <c r="M9" s="498">
        <v>675.788078749345</v>
      </c>
      <c r="N9" s="498">
        <v>6683.18530488217</v>
      </c>
      <c r="O9" s="499">
        <v>1931.30685004557</v>
      </c>
      <c r="P9" s="309"/>
      <c r="Q9" s="168"/>
      <c r="AA9" s="168"/>
    </row>
    <row r="10" ht="16.5" customHeight="1" outlineLevel="3" spans="2:27">
      <c r="B10" s="470" t="s">
        <v>1535</v>
      </c>
      <c r="C10" s="473" t="s">
        <v>622</v>
      </c>
      <c r="D10" s="470" t="s">
        <v>1536</v>
      </c>
      <c r="E10" s="290" t="s">
        <v>774</v>
      </c>
      <c r="F10" s="290" t="s">
        <v>1537</v>
      </c>
      <c r="G10" s="475"/>
      <c r="H10" s="292"/>
      <c r="I10" s="475"/>
      <c r="J10" s="500"/>
      <c r="K10" s="497"/>
      <c r="L10" s="499">
        <v>1546.70006799413</v>
      </c>
      <c r="M10" s="498">
        <v>170.137007479354</v>
      </c>
      <c r="N10" s="498">
        <v>1716.83707547348</v>
      </c>
      <c r="O10" s="499">
        <v>496.131567959358</v>
      </c>
      <c r="P10" s="309"/>
      <c r="Q10" s="168"/>
      <c r="AA10" s="168"/>
    </row>
    <row r="11" ht="16.5" customHeight="1" outlineLevel="4" spans="2:27">
      <c r="B11" s="470" t="s">
        <v>1538</v>
      </c>
      <c r="C11" s="473"/>
      <c r="D11" s="476" t="s">
        <v>1539</v>
      </c>
      <c r="E11" s="290"/>
      <c r="F11" s="290" t="s">
        <v>1537</v>
      </c>
      <c r="G11" s="475"/>
      <c r="H11" s="292" t="s">
        <v>827</v>
      </c>
      <c r="I11" s="475">
        <v>34604.4716028656</v>
      </c>
      <c r="J11" s="500"/>
      <c r="K11" s="497">
        <v>0.17</v>
      </c>
      <c r="L11" s="496">
        <v>0</v>
      </c>
      <c r="M11" s="496">
        <v>0</v>
      </c>
      <c r="N11" s="498">
        <v>0</v>
      </c>
      <c r="O11" s="499"/>
      <c r="P11" s="309"/>
      <c r="Q11" s="168"/>
      <c r="AA11" s="168"/>
    </row>
    <row r="12" ht="16.5" customHeight="1" outlineLevel="4" spans="2:27">
      <c r="B12" s="470" t="s">
        <v>1540</v>
      </c>
      <c r="C12" s="473"/>
      <c r="D12" s="476" t="s">
        <v>1958</v>
      </c>
      <c r="E12" s="290"/>
      <c r="F12" s="290" t="s">
        <v>1537</v>
      </c>
      <c r="G12" s="475">
        <v>0.9</v>
      </c>
      <c r="H12" s="292" t="s">
        <v>827</v>
      </c>
      <c r="I12" s="475">
        <v>25854.4716028656</v>
      </c>
      <c r="J12" s="500">
        <v>396.396396396396</v>
      </c>
      <c r="K12" s="497">
        <v>0.11</v>
      </c>
      <c r="L12" s="496">
        <v>922.375743669801</v>
      </c>
      <c r="M12" s="496">
        <v>101.461331803678</v>
      </c>
      <c r="N12" s="498">
        <v>1023.83707547348</v>
      </c>
      <c r="O12" s="499"/>
      <c r="P12" s="309"/>
      <c r="Q12" s="168"/>
      <c r="AA12" s="168"/>
    </row>
    <row r="13" ht="16.5" customHeight="1" outlineLevel="4" spans="2:27">
      <c r="B13" s="470" t="s">
        <v>1959</v>
      </c>
      <c r="C13" s="473"/>
      <c r="D13" s="476" t="s">
        <v>1960</v>
      </c>
      <c r="E13" s="290"/>
      <c r="F13" s="290"/>
      <c r="G13" s="475">
        <v>1.8</v>
      </c>
      <c r="H13" s="292" t="s">
        <v>827</v>
      </c>
      <c r="I13" s="543">
        <v>8750</v>
      </c>
      <c r="J13" s="500">
        <v>396.396396396396</v>
      </c>
      <c r="K13" s="497">
        <v>0.11</v>
      </c>
      <c r="L13" s="496">
        <v>624.324324324324</v>
      </c>
      <c r="M13" s="496">
        <v>68.6756756756757</v>
      </c>
      <c r="N13" s="498">
        <v>693</v>
      </c>
      <c r="O13" s="499"/>
      <c r="P13" s="309"/>
      <c r="Q13" s="168"/>
      <c r="AA13" s="168"/>
    </row>
    <row r="14" ht="16.5" customHeight="1" outlineLevel="3" spans="2:27">
      <c r="B14" s="470" t="s">
        <v>1542</v>
      </c>
      <c r="C14" s="473" t="s">
        <v>622</v>
      </c>
      <c r="D14" s="470" t="s">
        <v>1543</v>
      </c>
      <c r="E14" s="290" t="s">
        <v>774</v>
      </c>
      <c r="F14" s="290" t="s">
        <v>1537</v>
      </c>
      <c r="G14" s="475"/>
      <c r="H14" s="292"/>
      <c r="I14" s="475"/>
      <c r="J14" s="500"/>
      <c r="K14" s="497"/>
      <c r="L14" s="499">
        <v>2069.3657100519</v>
      </c>
      <c r="M14" s="498">
        <v>227.630228105709</v>
      </c>
      <c r="N14" s="498">
        <v>2296.99593815761</v>
      </c>
      <c r="O14" s="499">
        <v>663.785872681088</v>
      </c>
      <c r="P14" s="309"/>
      <c r="Q14" s="168"/>
      <c r="AA14" s="168"/>
    </row>
    <row r="15" ht="16.5" customHeight="1" outlineLevel="4" spans="2:27">
      <c r="B15" s="470" t="s">
        <v>1544</v>
      </c>
      <c r="C15" s="473"/>
      <c r="D15" s="476" t="s">
        <v>1545</v>
      </c>
      <c r="E15" s="290"/>
      <c r="F15" s="290" t="s">
        <v>1537</v>
      </c>
      <c r="G15" s="475"/>
      <c r="H15" s="292" t="s">
        <v>1546</v>
      </c>
      <c r="I15" s="475">
        <v>34604.4716028656</v>
      </c>
      <c r="J15" s="500"/>
      <c r="K15" s="497">
        <v>0.17</v>
      </c>
      <c r="L15" s="496">
        <v>0</v>
      </c>
      <c r="M15" s="496">
        <v>0</v>
      </c>
      <c r="N15" s="498">
        <v>0</v>
      </c>
      <c r="O15" s="499">
        <v>0</v>
      </c>
      <c r="P15" s="309"/>
      <c r="Q15" s="168"/>
      <c r="AA15" s="168"/>
    </row>
    <row r="16" ht="16.5" customHeight="1" outlineLevel="4" spans="2:27">
      <c r="B16" s="470" t="s">
        <v>1547</v>
      </c>
      <c r="C16" s="473"/>
      <c r="D16" s="476" t="s">
        <v>1961</v>
      </c>
      <c r="E16" s="290"/>
      <c r="F16" s="290" t="s">
        <v>1537</v>
      </c>
      <c r="G16" s="475">
        <v>110</v>
      </c>
      <c r="H16" s="292" t="s">
        <v>1546</v>
      </c>
      <c r="I16" s="475">
        <v>25854.4716028656</v>
      </c>
      <c r="J16" s="500">
        <v>4.5045045045045</v>
      </c>
      <c r="K16" s="497">
        <v>0.11</v>
      </c>
      <c r="L16" s="496">
        <v>1281.07742176361</v>
      </c>
      <c r="M16" s="496">
        <v>140.918516393997</v>
      </c>
      <c r="N16" s="498">
        <v>1421.99593815761</v>
      </c>
      <c r="O16" s="499">
        <v>410.928377834226</v>
      </c>
      <c r="P16" s="499"/>
      <c r="Q16" s="168"/>
      <c r="AA16" s="168"/>
    </row>
    <row r="17" ht="16.5" customHeight="1" outlineLevel="4" spans="2:27">
      <c r="B17" s="470" t="s">
        <v>1962</v>
      </c>
      <c r="C17" s="473"/>
      <c r="D17" s="476" t="s">
        <v>1963</v>
      </c>
      <c r="E17" s="290"/>
      <c r="F17" s="290"/>
      <c r="G17" s="475">
        <v>200</v>
      </c>
      <c r="H17" s="292" t="s">
        <v>1546</v>
      </c>
      <c r="I17" s="475">
        <v>8750</v>
      </c>
      <c r="J17" s="500">
        <v>4.5045045045045</v>
      </c>
      <c r="K17" s="497">
        <v>0.11</v>
      </c>
      <c r="L17" s="496">
        <v>788.288288288288</v>
      </c>
      <c r="M17" s="496">
        <v>86.7117117117117</v>
      </c>
      <c r="N17" s="498">
        <v>875</v>
      </c>
      <c r="O17" s="499">
        <v>252.857494846863</v>
      </c>
      <c r="P17" s="309"/>
      <c r="Q17" s="168"/>
      <c r="AA17" s="168"/>
    </row>
    <row r="18" ht="16.5" customHeight="1" outlineLevel="3" spans="2:27">
      <c r="B18" s="470" t="s">
        <v>1549</v>
      </c>
      <c r="C18" s="473" t="s">
        <v>622</v>
      </c>
      <c r="D18" s="470" t="s">
        <v>1550</v>
      </c>
      <c r="E18" s="290" t="s">
        <v>774</v>
      </c>
      <c r="F18" s="290" t="s">
        <v>1537</v>
      </c>
      <c r="G18" s="475">
        <v>2.8</v>
      </c>
      <c r="H18" s="292" t="s">
        <v>1015</v>
      </c>
      <c r="I18" s="475">
        <v>34604.4716028656</v>
      </c>
      <c r="J18" s="475">
        <v>49.55</v>
      </c>
      <c r="K18" s="497">
        <v>0.11</v>
      </c>
      <c r="L18" s="496">
        <v>480.102439018158</v>
      </c>
      <c r="M18" s="496">
        <v>52.8112682919973</v>
      </c>
      <c r="N18" s="498">
        <v>532.913707310155</v>
      </c>
      <c r="O18" s="499">
        <v>154.0014</v>
      </c>
      <c r="P18" s="236"/>
      <c r="Q18" s="168"/>
      <c r="AA18" s="168"/>
    </row>
    <row r="19" ht="16.5" customHeight="1" outlineLevel="3" spans="2:27">
      <c r="B19" s="470" t="s">
        <v>1551</v>
      </c>
      <c r="C19" s="473" t="s">
        <v>622</v>
      </c>
      <c r="D19" s="470" t="s">
        <v>1552</v>
      </c>
      <c r="E19" s="290" t="s">
        <v>774</v>
      </c>
      <c r="F19" s="290"/>
      <c r="G19" s="475"/>
      <c r="H19" s="292"/>
      <c r="I19" s="475"/>
      <c r="J19" s="200"/>
      <c r="K19" s="497"/>
      <c r="L19" s="499">
        <v>85.7317990161086</v>
      </c>
      <c r="M19" s="498">
        <v>9.43049789177194</v>
      </c>
      <c r="N19" s="498">
        <v>95.1622969078805</v>
      </c>
      <c r="O19" s="499">
        <v>27.5</v>
      </c>
      <c r="P19" s="236"/>
      <c r="Q19" s="168"/>
      <c r="AA19" s="168"/>
    </row>
    <row r="20" ht="16.5" customHeight="1" outlineLevel="4" spans="2:27">
      <c r="B20" s="470" t="s">
        <v>1553</v>
      </c>
      <c r="C20" s="473"/>
      <c r="D20" s="476" t="s">
        <v>1554</v>
      </c>
      <c r="E20" s="290"/>
      <c r="F20" s="290" t="s">
        <v>1537</v>
      </c>
      <c r="G20" s="475">
        <v>0.18</v>
      </c>
      <c r="H20" s="292" t="s">
        <v>827</v>
      </c>
      <c r="I20" s="475">
        <v>34604.4716028656</v>
      </c>
      <c r="J20" s="200"/>
      <c r="K20" s="497">
        <v>0.17</v>
      </c>
      <c r="L20" s="496">
        <v>0</v>
      </c>
      <c r="M20" s="496">
        <v>0</v>
      </c>
      <c r="N20" s="498">
        <v>0</v>
      </c>
      <c r="O20" s="499">
        <v>0</v>
      </c>
      <c r="P20" s="236"/>
      <c r="Q20" s="168"/>
      <c r="AA20" s="168"/>
    </row>
    <row r="21" ht="16.5" customHeight="1" outlineLevel="4" spans="2:27">
      <c r="B21" s="470" t="s">
        <v>1555</v>
      </c>
      <c r="C21" s="473"/>
      <c r="D21" s="476" t="s">
        <v>1556</v>
      </c>
      <c r="E21" s="290"/>
      <c r="F21" s="290" t="s">
        <v>1537</v>
      </c>
      <c r="G21" s="475">
        <v>0.05</v>
      </c>
      <c r="H21" s="477" t="s">
        <v>655</v>
      </c>
      <c r="I21" s="475">
        <v>34604.4716028656</v>
      </c>
      <c r="J21" s="475">
        <v>495.495495495495</v>
      </c>
      <c r="K21" s="497">
        <v>0.11</v>
      </c>
      <c r="L21" s="496">
        <v>85.7317990161086</v>
      </c>
      <c r="M21" s="496">
        <v>9.43049789177194</v>
      </c>
      <c r="N21" s="498">
        <v>95.1622969078805</v>
      </c>
      <c r="O21" s="499">
        <v>27.5</v>
      </c>
      <c r="P21" s="236"/>
      <c r="Q21" s="168"/>
      <c r="AA21" s="168"/>
    </row>
    <row r="22" ht="16.5" customHeight="1" outlineLevel="3" spans="2:27">
      <c r="B22" s="470" t="s">
        <v>1557</v>
      </c>
      <c r="C22" s="473" t="s">
        <v>622</v>
      </c>
      <c r="D22" s="470" t="s">
        <v>1558</v>
      </c>
      <c r="E22" s="290" t="s">
        <v>1353</v>
      </c>
      <c r="F22" s="290" t="s">
        <v>1537</v>
      </c>
      <c r="G22" s="478"/>
      <c r="H22" s="477"/>
      <c r="I22" s="475"/>
      <c r="J22" s="200"/>
      <c r="K22" s="497"/>
      <c r="L22" s="499">
        <v>0</v>
      </c>
      <c r="M22" s="498">
        <v>0</v>
      </c>
      <c r="N22" s="498">
        <v>0</v>
      </c>
      <c r="O22" s="499">
        <v>0</v>
      </c>
      <c r="P22" s="236"/>
      <c r="Q22" s="168"/>
      <c r="AA22" s="168"/>
    </row>
    <row r="23" ht="16.5" customHeight="1" outlineLevel="4" spans="2:27">
      <c r="B23" s="470" t="s">
        <v>1559</v>
      </c>
      <c r="C23" s="473"/>
      <c r="D23" s="476" t="s">
        <v>1560</v>
      </c>
      <c r="E23" s="290"/>
      <c r="F23" s="290" t="s">
        <v>1537</v>
      </c>
      <c r="G23" s="478">
        <v>0.7</v>
      </c>
      <c r="H23" s="477" t="s">
        <v>655</v>
      </c>
      <c r="I23" s="475">
        <v>34604.4716028656</v>
      </c>
      <c r="J23" s="200"/>
      <c r="K23" s="497">
        <v>0.17</v>
      </c>
      <c r="L23" s="496">
        <v>0</v>
      </c>
      <c r="M23" s="496">
        <v>0</v>
      </c>
      <c r="N23" s="498">
        <v>0</v>
      </c>
      <c r="O23" s="499">
        <v>0</v>
      </c>
      <c r="P23" s="236"/>
      <c r="Q23" s="168"/>
      <c r="AA23" s="168"/>
    </row>
    <row r="24" ht="16.5" customHeight="1" outlineLevel="4" spans="2:27">
      <c r="B24" s="470" t="s">
        <v>1561</v>
      </c>
      <c r="C24" s="473"/>
      <c r="D24" s="476" t="s">
        <v>1562</v>
      </c>
      <c r="E24" s="290"/>
      <c r="F24" s="290" t="s">
        <v>1537</v>
      </c>
      <c r="G24" s="478">
        <v>0.7</v>
      </c>
      <c r="H24" s="477" t="s">
        <v>655</v>
      </c>
      <c r="I24" s="475">
        <v>34604.4716028656</v>
      </c>
      <c r="J24" s="200"/>
      <c r="K24" s="497">
        <v>0.11</v>
      </c>
      <c r="L24" s="496">
        <v>0</v>
      </c>
      <c r="M24" s="496">
        <v>0</v>
      </c>
      <c r="N24" s="498">
        <v>0</v>
      </c>
      <c r="O24" s="499">
        <v>0</v>
      </c>
      <c r="P24" s="236"/>
      <c r="Q24" s="168"/>
      <c r="AA24" s="168"/>
    </row>
    <row r="25" ht="16.5" customHeight="1" outlineLevel="3" spans="2:27">
      <c r="B25" s="470" t="s">
        <v>1563</v>
      </c>
      <c r="C25" s="473" t="s">
        <v>622</v>
      </c>
      <c r="D25" s="470" t="s">
        <v>1564</v>
      </c>
      <c r="E25" s="479" t="s">
        <v>774</v>
      </c>
      <c r="F25" s="479"/>
      <c r="G25" s="478"/>
      <c r="H25" s="477" t="s">
        <v>827</v>
      </c>
      <c r="I25" s="475">
        <v>34604.4716028656</v>
      </c>
      <c r="J25" s="500"/>
      <c r="K25" s="497"/>
      <c r="L25" s="499">
        <v>840.143884430182</v>
      </c>
      <c r="M25" s="498">
        <v>92.41582728732</v>
      </c>
      <c r="N25" s="498">
        <v>932.559711717502</v>
      </c>
      <c r="O25" s="499">
        <v>269.4911</v>
      </c>
      <c r="P25" s="309"/>
      <c r="Q25" s="168"/>
      <c r="AA25" s="168"/>
    </row>
    <row r="26" ht="16.5" customHeight="1" outlineLevel="4" spans="2:27">
      <c r="B26" s="470" t="s">
        <v>1565</v>
      </c>
      <c r="C26" s="473"/>
      <c r="D26" s="476" t="s">
        <v>1964</v>
      </c>
      <c r="E26" s="290"/>
      <c r="F26" s="290" t="s">
        <v>1537</v>
      </c>
      <c r="G26" s="480">
        <v>1.05</v>
      </c>
      <c r="H26" s="477" t="s">
        <v>1015</v>
      </c>
      <c r="I26" s="475">
        <v>34604.4716028656</v>
      </c>
      <c r="J26" s="500">
        <v>34.2</v>
      </c>
      <c r="K26" s="497">
        <v>0.11</v>
      </c>
      <c r="L26" s="496">
        <v>124.264657525891</v>
      </c>
      <c r="M26" s="496">
        <v>13.669112327848</v>
      </c>
      <c r="N26" s="498">
        <v>137.933769853738</v>
      </c>
      <c r="O26" s="499">
        <v>39.8601</v>
      </c>
      <c r="P26" s="309"/>
      <c r="Q26" s="168"/>
      <c r="AA26" s="168"/>
    </row>
    <row r="27" ht="16.5" customHeight="1" outlineLevel="4" spans="2:27">
      <c r="B27" s="470" t="s">
        <v>1567</v>
      </c>
      <c r="C27" s="473"/>
      <c r="D27" s="476" t="s">
        <v>1965</v>
      </c>
      <c r="E27" s="290"/>
      <c r="F27" s="290" t="s">
        <v>1537</v>
      </c>
      <c r="G27" s="480">
        <v>1</v>
      </c>
      <c r="H27" s="477" t="s">
        <v>1015</v>
      </c>
      <c r="I27" s="475">
        <v>34604.4716028656</v>
      </c>
      <c r="J27" s="500">
        <v>44.1</v>
      </c>
      <c r="K27" s="497">
        <v>0.11</v>
      </c>
      <c r="L27" s="496">
        <v>152.605719768637</v>
      </c>
      <c r="M27" s="496">
        <v>16.7866291745501</v>
      </c>
      <c r="N27" s="498">
        <v>169.392348943188</v>
      </c>
      <c r="O27" s="499">
        <v>48.951</v>
      </c>
      <c r="P27" s="309"/>
      <c r="Q27" s="168"/>
      <c r="AA27" s="168"/>
    </row>
    <row r="28" ht="16.5" customHeight="1" outlineLevel="4" spans="2:27">
      <c r="B28" s="470" t="s">
        <v>1569</v>
      </c>
      <c r="C28" s="473"/>
      <c r="D28" s="476" t="s">
        <v>1926</v>
      </c>
      <c r="E28" s="290"/>
      <c r="F28" s="290" t="s">
        <v>1537</v>
      </c>
      <c r="G28" s="480">
        <v>1.9</v>
      </c>
      <c r="H28" s="477" t="s">
        <v>1015</v>
      </c>
      <c r="I28" s="475">
        <v>34604.4716028656</v>
      </c>
      <c r="J28" s="500">
        <v>28.8288288288288</v>
      </c>
      <c r="K28" s="497">
        <v>0.11</v>
      </c>
      <c r="L28" s="496">
        <v>189.545213824705</v>
      </c>
      <c r="M28" s="496">
        <v>20.8499735207176</v>
      </c>
      <c r="N28" s="498">
        <v>210.395187345423</v>
      </c>
      <c r="O28" s="499">
        <v>60.8</v>
      </c>
      <c r="P28" s="309"/>
      <c r="Q28" s="168"/>
      <c r="AA28" s="168"/>
    </row>
    <row r="29" ht="16.5" customHeight="1" outlineLevel="4" spans="2:27">
      <c r="B29" s="470" t="s">
        <v>1571</v>
      </c>
      <c r="C29" s="473"/>
      <c r="D29" s="476" t="s">
        <v>1928</v>
      </c>
      <c r="E29" s="290"/>
      <c r="F29" s="290" t="s">
        <v>1537</v>
      </c>
      <c r="G29" s="480"/>
      <c r="H29" s="477" t="s">
        <v>1015</v>
      </c>
      <c r="I29" s="475">
        <v>34604.4716028656</v>
      </c>
      <c r="J29" s="500">
        <v>15</v>
      </c>
      <c r="K29" s="497">
        <v>0.11</v>
      </c>
      <c r="L29" s="496">
        <v>0</v>
      </c>
      <c r="M29" s="496">
        <v>0</v>
      </c>
      <c r="N29" s="498">
        <v>0</v>
      </c>
      <c r="O29" s="499">
        <v>0</v>
      </c>
      <c r="P29" s="309"/>
      <c r="Q29" s="168"/>
      <c r="AA29" s="168"/>
    </row>
    <row r="30" ht="16.5" customHeight="1" outlineLevel="4" spans="2:27">
      <c r="B30" s="470" t="s">
        <v>1573</v>
      </c>
      <c r="C30" s="473"/>
      <c r="D30" s="476" t="s">
        <v>1574</v>
      </c>
      <c r="E30" s="290"/>
      <c r="F30" s="290" t="s">
        <v>1537</v>
      </c>
      <c r="G30" s="480">
        <v>1</v>
      </c>
      <c r="H30" s="477" t="s">
        <v>1015</v>
      </c>
      <c r="I30" s="475">
        <v>34604.4716028656</v>
      </c>
      <c r="J30" s="500">
        <v>18</v>
      </c>
      <c r="K30" s="497">
        <v>0.11</v>
      </c>
      <c r="L30" s="496">
        <v>62.2880488851581</v>
      </c>
      <c r="M30" s="496">
        <v>6.85168537736739</v>
      </c>
      <c r="N30" s="498">
        <v>69.1397342625255</v>
      </c>
      <c r="O30" s="499">
        <v>19.98</v>
      </c>
      <c r="P30" s="309"/>
      <c r="Q30" s="168"/>
      <c r="AA30" s="168"/>
    </row>
    <row r="31" ht="16.5" customHeight="1" outlineLevel="4" spans="2:27">
      <c r="B31" s="470" t="s">
        <v>1966</v>
      </c>
      <c r="C31" s="473"/>
      <c r="D31" s="476" t="s">
        <v>1967</v>
      </c>
      <c r="E31" s="290"/>
      <c r="F31" s="290" t="s">
        <v>1537</v>
      </c>
      <c r="G31" s="480">
        <v>1</v>
      </c>
      <c r="H31" s="477" t="s">
        <v>1015</v>
      </c>
      <c r="I31" s="475">
        <v>34604.4716028656</v>
      </c>
      <c r="J31" s="500">
        <v>90</v>
      </c>
      <c r="K31" s="497">
        <v>0.11</v>
      </c>
      <c r="L31" s="496">
        <v>311.440244425791</v>
      </c>
      <c r="M31" s="496">
        <v>34.258426886837</v>
      </c>
      <c r="N31" s="498">
        <v>345.698671312628</v>
      </c>
      <c r="O31" s="499">
        <v>99.9</v>
      </c>
      <c r="P31" s="309"/>
      <c r="Q31" s="168"/>
      <c r="AA31" s="168"/>
    </row>
    <row r="32" ht="16.5" customHeight="1" outlineLevel="3" spans="2:27">
      <c r="B32" s="470" t="s">
        <v>1575</v>
      </c>
      <c r="C32" s="473" t="s">
        <v>622</v>
      </c>
      <c r="D32" s="470" t="s">
        <v>1576</v>
      </c>
      <c r="E32" s="290" t="s">
        <v>1356</v>
      </c>
      <c r="F32" s="290" t="s">
        <v>1537</v>
      </c>
      <c r="G32" s="478"/>
      <c r="H32" s="477" t="s">
        <v>655</v>
      </c>
      <c r="I32" s="475">
        <v>34604.4716028656</v>
      </c>
      <c r="J32" s="200"/>
      <c r="K32" s="497">
        <v>0.17</v>
      </c>
      <c r="L32" s="496">
        <v>0</v>
      </c>
      <c r="M32" s="496">
        <v>0</v>
      </c>
      <c r="N32" s="498">
        <v>0</v>
      </c>
      <c r="O32" s="499">
        <v>0</v>
      </c>
      <c r="P32" s="236"/>
      <c r="Q32" s="168"/>
      <c r="AA32" s="168"/>
    </row>
    <row r="33" ht="16.5" customHeight="1" outlineLevel="3" spans="2:27">
      <c r="B33" s="470" t="s">
        <v>1577</v>
      </c>
      <c r="C33" s="473" t="s">
        <v>622</v>
      </c>
      <c r="D33" s="470" t="s">
        <v>1578</v>
      </c>
      <c r="E33" s="479" t="s">
        <v>774</v>
      </c>
      <c r="F33" s="479"/>
      <c r="G33" s="478"/>
      <c r="H33" s="477"/>
      <c r="I33" s="200"/>
      <c r="J33" s="200"/>
      <c r="K33" s="41"/>
      <c r="L33" s="499">
        <v>0</v>
      </c>
      <c r="M33" s="498">
        <v>0</v>
      </c>
      <c r="N33" s="498">
        <v>0</v>
      </c>
      <c r="O33" s="499">
        <v>0</v>
      </c>
      <c r="P33" s="236"/>
      <c r="Q33" s="168"/>
      <c r="AA33" s="168"/>
    </row>
    <row r="34" ht="16.5" customHeight="1" outlineLevel="4" spans="2:27">
      <c r="B34" s="470" t="s">
        <v>1579</v>
      </c>
      <c r="C34" s="473"/>
      <c r="D34" s="476" t="s">
        <v>1580</v>
      </c>
      <c r="E34" s="290"/>
      <c r="F34" s="290" t="s">
        <v>1537</v>
      </c>
      <c r="G34" s="478">
        <v>0.13</v>
      </c>
      <c r="H34" s="477" t="s">
        <v>1015</v>
      </c>
      <c r="I34" s="475">
        <v>34604.4716028656</v>
      </c>
      <c r="J34" s="200"/>
      <c r="K34" s="497">
        <v>0.11</v>
      </c>
      <c r="L34" s="496">
        <v>0</v>
      </c>
      <c r="M34" s="496">
        <v>0</v>
      </c>
      <c r="N34" s="498">
        <v>0</v>
      </c>
      <c r="O34" s="499">
        <v>0</v>
      </c>
      <c r="P34" s="236"/>
      <c r="Q34" s="168"/>
      <c r="AA34" s="168"/>
    </row>
    <row r="35" ht="16.5" customHeight="1" outlineLevel="4" spans="2:27">
      <c r="B35" s="470" t="s">
        <v>1581</v>
      </c>
      <c r="C35" s="473"/>
      <c r="D35" s="476" t="s">
        <v>1582</v>
      </c>
      <c r="E35" s="290"/>
      <c r="F35" s="290" t="s">
        <v>1537</v>
      </c>
      <c r="G35" s="478">
        <v>0.1</v>
      </c>
      <c r="H35" s="477" t="s">
        <v>1015</v>
      </c>
      <c r="I35" s="475">
        <v>34604.4716028656</v>
      </c>
      <c r="J35" s="200"/>
      <c r="K35" s="497">
        <v>0.11</v>
      </c>
      <c r="L35" s="496">
        <v>0</v>
      </c>
      <c r="M35" s="496">
        <v>0</v>
      </c>
      <c r="N35" s="498">
        <v>0</v>
      </c>
      <c r="O35" s="499">
        <v>0</v>
      </c>
      <c r="P35" s="236"/>
      <c r="Q35" s="168"/>
      <c r="AA35" s="168"/>
    </row>
    <row r="36" ht="16.5" customHeight="1" outlineLevel="3" spans="2:27">
      <c r="B36" s="470" t="s">
        <v>1583</v>
      </c>
      <c r="C36" s="473" t="s">
        <v>622</v>
      </c>
      <c r="D36" s="470" t="s">
        <v>1584</v>
      </c>
      <c r="E36" s="479" t="s">
        <v>1357</v>
      </c>
      <c r="F36" s="479"/>
      <c r="G36" s="478"/>
      <c r="H36" s="477"/>
      <c r="I36" s="200"/>
      <c r="J36" s="200"/>
      <c r="K36" s="41"/>
      <c r="L36" s="499">
        <v>249.573064578913</v>
      </c>
      <c r="M36" s="498">
        <v>42.4274209784152</v>
      </c>
      <c r="N36" s="498">
        <v>292.000485557328</v>
      </c>
      <c r="O36" s="499">
        <v>84.3822985966784</v>
      </c>
      <c r="P36" s="236"/>
      <c r="Q36" s="168"/>
      <c r="AA36" s="168"/>
    </row>
    <row r="37" ht="16.5" customHeight="1" outlineLevel="4" spans="2:27">
      <c r="B37" s="470" t="s">
        <v>1585</v>
      </c>
      <c r="C37" s="473"/>
      <c r="D37" s="476" t="s">
        <v>1968</v>
      </c>
      <c r="E37" s="290"/>
      <c r="F37" s="290" t="s">
        <v>1537</v>
      </c>
      <c r="G37" s="478">
        <v>2</v>
      </c>
      <c r="H37" s="477" t="s">
        <v>1015</v>
      </c>
      <c r="I37" s="543">
        <v>2583.36</v>
      </c>
      <c r="J37" s="200">
        <v>41</v>
      </c>
      <c r="K37" s="497">
        <v>0.17</v>
      </c>
      <c r="L37" s="496">
        <v>21.183552</v>
      </c>
      <c r="M37" s="496">
        <v>3.60120384</v>
      </c>
      <c r="N37" s="498">
        <v>24.78475584</v>
      </c>
      <c r="O37" s="499">
        <v>7.16229859667834</v>
      </c>
      <c r="P37" s="236"/>
      <c r="Q37" s="168"/>
      <c r="AA37" s="168"/>
    </row>
    <row r="38" ht="16.5" customHeight="1" outlineLevel="4" spans="2:27">
      <c r="B38" s="470" t="s">
        <v>1587</v>
      </c>
      <c r="C38" s="473"/>
      <c r="D38" s="476" t="s">
        <v>1969</v>
      </c>
      <c r="E38" s="290"/>
      <c r="F38" s="290" t="s">
        <v>1537</v>
      </c>
      <c r="G38" s="478">
        <v>1.2</v>
      </c>
      <c r="H38" s="477" t="s">
        <v>1015</v>
      </c>
      <c r="I38" s="475">
        <v>34604.4716028656</v>
      </c>
      <c r="J38" s="200">
        <v>55</v>
      </c>
      <c r="K38" s="497">
        <v>0.17</v>
      </c>
      <c r="L38" s="496">
        <v>228.389512578913</v>
      </c>
      <c r="M38" s="496">
        <v>38.8262171384152</v>
      </c>
      <c r="N38" s="498">
        <v>267.215729717328</v>
      </c>
      <c r="O38" s="499">
        <v>77.22</v>
      </c>
      <c r="P38" s="236"/>
      <c r="Q38" s="168"/>
      <c r="AA38" s="168"/>
    </row>
    <row r="39" ht="16.5" customHeight="1" outlineLevel="4" spans="2:27">
      <c r="B39" s="470" t="s">
        <v>1589</v>
      </c>
      <c r="C39" s="473"/>
      <c r="D39" s="476" t="s">
        <v>1970</v>
      </c>
      <c r="E39" s="290"/>
      <c r="F39" s="290" t="s">
        <v>1537</v>
      </c>
      <c r="G39" s="255">
        <v>1.2</v>
      </c>
      <c r="H39" s="477" t="s">
        <v>1015</v>
      </c>
      <c r="I39" s="475">
        <v>34604.4716028656</v>
      </c>
      <c r="J39" s="200"/>
      <c r="K39" s="497">
        <v>0.17</v>
      </c>
      <c r="L39" s="496">
        <v>0</v>
      </c>
      <c r="M39" s="496">
        <v>0</v>
      </c>
      <c r="N39" s="498">
        <v>0</v>
      </c>
      <c r="O39" s="499">
        <v>0</v>
      </c>
      <c r="P39" s="236"/>
      <c r="Q39" s="168"/>
      <c r="AA39" s="168"/>
    </row>
    <row r="40" ht="16.5" customHeight="1" outlineLevel="4" spans="2:27">
      <c r="B40" s="470" t="s">
        <v>1591</v>
      </c>
      <c r="C40" s="473"/>
      <c r="D40" s="476" t="s">
        <v>546</v>
      </c>
      <c r="E40" s="290"/>
      <c r="F40" s="290" t="s">
        <v>1537</v>
      </c>
      <c r="G40" s="255">
        <v>1.2</v>
      </c>
      <c r="H40" s="477" t="s">
        <v>1015</v>
      </c>
      <c r="I40" s="475">
        <v>34604.4716028656</v>
      </c>
      <c r="J40" s="200"/>
      <c r="K40" s="497">
        <v>0.17</v>
      </c>
      <c r="L40" s="496">
        <v>0</v>
      </c>
      <c r="M40" s="496">
        <v>0</v>
      </c>
      <c r="N40" s="498">
        <v>0</v>
      </c>
      <c r="O40" s="499">
        <v>0</v>
      </c>
      <c r="P40" s="236"/>
      <c r="Q40" s="168"/>
      <c r="AA40" s="168"/>
    </row>
    <row r="41" ht="16.5" customHeight="1" outlineLevel="4" spans="2:27">
      <c r="B41" s="470" t="s">
        <v>1593</v>
      </c>
      <c r="C41" s="473"/>
      <c r="D41" s="476" t="s">
        <v>1971</v>
      </c>
      <c r="E41" s="290"/>
      <c r="F41" s="290" t="s">
        <v>1537</v>
      </c>
      <c r="G41" s="255">
        <v>1.2</v>
      </c>
      <c r="H41" s="477" t="s">
        <v>1015</v>
      </c>
      <c r="I41" s="475">
        <v>34604.4716028656</v>
      </c>
      <c r="J41" s="200"/>
      <c r="K41" s="497">
        <v>0.17</v>
      </c>
      <c r="L41" s="496">
        <v>0</v>
      </c>
      <c r="M41" s="496">
        <v>0</v>
      </c>
      <c r="N41" s="498">
        <v>0</v>
      </c>
      <c r="O41" s="499">
        <v>0</v>
      </c>
      <c r="P41" s="236"/>
      <c r="Q41" s="168"/>
      <c r="AA41" s="168"/>
    </row>
    <row r="42" ht="16.5" customHeight="1" outlineLevel="3" spans="2:27">
      <c r="B42" s="470" t="s">
        <v>1595</v>
      </c>
      <c r="C42" s="473" t="s">
        <v>622</v>
      </c>
      <c r="D42" s="470" t="s">
        <v>1596</v>
      </c>
      <c r="E42" s="479" t="s">
        <v>1358</v>
      </c>
      <c r="F42" s="479"/>
      <c r="G42" s="478"/>
      <c r="H42" s="477"/>
      <c r="I42" s="200"/>
      <c r="J42" s="200"/>
      <c r="K42" s="41"/>
      <c r="L42" s="499">
        <v>150.964690955004</v>
      </c>
      <c r="M42" s="498">
        <v>16.6061160050504</v>
      </c>
      <c r="N42" s="498">
        <v>167.570806960054</v>
      </c>
      <c r="O42" s="499">
        <v>48.4246108084418</v>
      </c>
      <c r="P42" s="236"/>
      <c r="Q42" s="168"/>
      <c r="AA42" s="168"/>
    </row>
    <row r="43" ht="16.5" customHeight="1" outlineLevel="4" spans="2:27">
      <c r="B43" s="470" t="s">
        <v>1597</v>
      </c>
      <c r="C43" s="473"/>
      <c r="D43" s="476" t="s">
        <v>1972</v>
      </c>
      <c r="E43" s="290"/>
      <c r="F43" s="290" t="s">
        <v>1537</v>
      </c>
      <c r="G43" s="255">
        <v>2</v>
      </c>
      <c r="H43" s="477" t="s">
        <v>1015</v>
      </c>
      <c r="I43" s="543">
        <v>2583.36</v>
      </c>
      <c r="J43" s="200">
        <v>35</v>
      </c>
      <c r="K43" s="497">
        <v>0.11</v>
      </c>
      <c r="L43" s="496">
        <v>18.08352</v>
      </c>
      <c r="M43" s="496">
        <v>1.9891872</v>
      </c>
      <c r="N43" s="498">
        <v>20.0727072</v>
      </c>
      <c r="O43" s="499">
        <v>5.80061080844181</v>
      </c>
      <c r="P43" s="236"/>
      <c r="Q43" s="168"/>
      <c r="AA43" s="168"/>
    </row>
    <row r="44" ht="16.5" customHeight="1" outlineLevel="4" spans="2:27">
      <c r="B44" s="470" t="s">
        <v>1599</v>
      </c>
      <c r="C44" s="473"/>
      <c r="D44" s="476" t="s">
        <v>1973</v>
      </c>
      <c r="E44" s="290"/>
      <c r="F44" s="290" t="s">
        <v>1537</v>
      </c>
      <c r="G44" s="255">
        <v>1.2</v>
      </c>
      <c r="H44" s="477" t="s">
        <v>1015</v>
      </c>
      <c r="I44" s="475">
        <v>34604.4716028656</v>
      </c>
      <c r="J44" s="200">
        <v>32</v>
      </c>
      <c r="K44" s="497">
        <v>0.11</v>
      </c>
      <c r="L44" s="496">
        <v>132.881170955004</v>
      </c>
      <c r="M44" s="496">
        <v>14.6169288050504</v>
      </c>
      <c r="N44" s="498">
        <v>147.498099760054</v>
      </c>
      <c r="O44" s="499">
        <v>42.624</v>
      </c>
      <c r="P44" s="236"/>
      <c r="Q44" s="168"/>
      <c r="AA44" s="168"/>
    </row>
    <row r="45" ht="16.5" customHeight="1" outlineLevel="4" spans="2:27">
      <c r="B45" s="470" t="s">
        <v>1601</v>
      </c>
      <c r="C45" s="473"/>
      <c r="D45" s="476" t="s">
        <v>1974</v>
      </c>
      <c r="E45" s="290"/>
      <c r="F45" s="290" t="s">
        <v>1537</v>
      </c>
      <c r="G45" s="255">
        <v>0.1</v>
      </c>
      <c r="H45" s="477" t="s">
        <v>1015</v>
      </c>
      <c r="I45" s="475">
        <v>34604.4716028656</v>
      </c>
      <c r="J45" s="200"/>
      <c r="K45" s="497">
        <v>0.11</v>
      </c>
      <c r="L45" s="496">
        <v>0</v>
      </c>
      <c r="M45" s="496">
        <v>0</v>
      </c>
      <c r="N45" s="498">
        <v>0</v>
      </c>
      <c r="O45" s="499">
        <v>0</v>
      </c>
      <c r="P45" s="236"/>
      <c r="Q45" s="168"/>
      <c r="AA45" s="168"/>
    </row>
    <row r="46" ht="16.5" customHeight="1" outlineLevel="3" spans="2:27">
      <c r="B46" s="470" t="s">
        <v>1603</v>
      </c>
      <c r="C46" s="473" t="s">
        <v>622</v>
      </c>
      <c r="D46" s="470" t="s">
        <v>1604</v>
      </c>
      <c r="E46" s="290" t="s">
        <v>774</v>
      </c>
      <c r="F46" s="290" t="s">
        <v>1537</v>
      </c>
      <c r="G46" s="478"/>
      <c r="H46" s="477"/>
      <c r="I46" s="475"/>
      <c r="J46" s="200"/>
      <c r="K46" s="497"/>
      <c r="L46" s="499">
        <v>584.815570088429</v>
      </c>
      <c r="M46" s="498">
        <v>64.3297127097272</v>
      </c>
      <c r="N46" s="498">
        <v>649.145282798156</v>
      </c>
      <c r="O46" s="499">
        <v>187.59</v>
      </c>
      <c r="P46" s="236"/>
      <c r="Q46" s="168"/>
      <c r="AA46" s="168"/>
    </row>
    <row r="47" ht="16.5" customHeight="1" outlineLevel="4" spans="2:27">
      <c r="B47" s="470" t="s">
        <v>1605</v>
      </c>
      <c r="C47" s="473"/>
      <c r="D47" s="476" t="s">
        <v>1935</v>
      </c>
      <c r="E47" s="290"/>
      <c r="F47" s="290" t="s">
        <v>1537</v>
      </c>
      <c r="G47" s="478">
        <v>1</v>
      </c>
      <c r="H47" s="477" t="s">
        <v>1015</v>
      </c>
      <c r="I47" s="475">
        <v>34604.4716028656</v>
      </c>
      <c r="J47" s="200">
        <v>15</v>
      </c>
      <c r="K47" s="497">
        <v>0.11</v>
      </c>
      <c r="L47" s="496">
        <v>51.9067074042985</v>
      </c>
      <c r="M47" s="496">
        <v>5.70973781447283</v>
      </c>
      <c r="N47" s="498">
        <v>57.6164452187713</v>
      </c>
      <c r="O47" s="499">
        <v>16.65</v>
      </c>
      <c r="P47" s="236"/>
      <c r="Q47" s="168"/>
      <c r="AA47" s="168"/>
    </row>
    <row r="48" ht="16.5" customHeight="1" outlineLevel="4" spans="2:27">
      <c r="B48" s="470" t="s">
        <v>1607</v>
      </c>
      <c r="C48" s="473"/>
      <c r="D48" s="476" t="s">
        <v>1936</v>
      </c>
      <c r="E48" s="290"/>
      <c r="F48" s="290" t="s">
        <v>1537</v>
      </c>
      <c r="G48" s="478">
        <v>1</v>
      </c>
      <c r="H48" s="477" t="s">
        <v>1015</v>
      </c>
      <c r="I48" s="475">
        <v>34604.4716028656</v>
      </c>
      <c r="J48" s="200"/>
      <c r="K48" s="497">
        <v>0.11</v>
      </c>
      <c r="L48" s="496">
        <v>0</v>
      </c>
      <c r="M48" s="496">
        <v>0</v>
      </c>
      <c r="N48" s="498">
        <v>0</v>
      </c>
      <c r="O48" s="499">
        <v>0</v>
      </c>
      <c r="P48" s="236"/>
      <c r="Q48" s="168"/>
      <c r="AA48" s="168"/>
    </row>
    <row r="49" ht="16.5" customHeight="1" outlineLevel="4" spans="2:27">
      <c r="B49" s="470" t="s">
        <v>1609</v>
      </c>
      <c r="C49" s="473"/>
      <c r="D49" s="476" t="s">
        <v>1937</v>
      </c>
      <c r="E49" s="290"/>
      <c r="F49" s="290" t="s">
        <v>1537</v>
      </c>
      <c r="G49" s="478">
        <v>1</v>
      </c>
      <c r="H49" s="477" t="s">
        <v>1015</v>
      </c>
      <c r="I49" s="475">
        <v>34604.4716028656</v>
      </c>
      <c r="J49" s="200"/>
      <c r="K49" s="497">
        <v>0.11</v>
      </c>
      <c r="L49" s="496">
        <v>0</v>
      </c>
      <c r="M49" s="496">
        <v>0</v>
      </c>
      <c r="N49" s="498">
        <v>0</v>
      </c>
      <c r="O49" s="499">
        <v>0</v>
      </c>
      <c r="P49" s="236"/>
      <c r="Q49" s="168"/>
      <c r="AA49" s="168"/>
    </row>
    <row r="50" ht="16.5" customHeight="1" outlineLevel="4" spans="2:27">
      <c r="B50" s="470" t="s">
        <v>1611</v>
      </c>
      <c r="C50" s="473"/>
      <c r="D50" s="476" t="s">
        <v>1938</v>
      </c>
      <c r="E50" s="290"/>
      <c r="F50" s="290" t="s">
        <v>1537</v>
      </c>
      <c r="G50" s="478">
        <v>1</v>
      </c>
      <c r="H50" s="477" t="s">
        <v>1015</v>
      </c>
      <c r="I50" s="475">
        <v>34604.4716028656</v>
      </c>
      <c r="J50" s="200"/>
      <c r="K50" s="497">
        <v>0.11</v>
      </c>
      <c r="L50" s="496">
        <v>0</v>
      </c>
      <c r="M50" s="496">
        <v>0</v>
      </c>
      <c r="N50" s="498">
        <v>0</v>
      </c>
      <c r="O50" s="499">
        <v>0</v>
      </c>
      <c r="P50" s="236"/>
      <c r="Q50" s="168"/>
      <c r="AA50" s="168"/>
    </row>
    <row r="51" ht="16.5" customHeight="1" outlineLevel="4" spans="2:27">
      <c r="B51" s="470" t="s">
        <v>1613</v>
      </c>
      <c r="C51" s="473"/>
      <c r="D51" s="476" t="s">
        <v>1614</v>
      </c>
      <c r="E51" s="290"/>
      <c r="F51" s="290" t="s">
        <v>1537</v>
      </c>
      <c r="G51" s="478">
        <v>1</v>
      </c>
      <c r="H51" s="477" t="s">
        <v>1015</v>
      </c>
      <c r="I51" s="475">
        <v>34604.4716028656</v>
      </c>
      <c r="J51" s="200">
        <v>154</v>
      </c>
      <c r="K51" s="497">
        <v>0.11</v>
      </c>
      <c r="L51" s="496">
        <v>532.908862684131</v>
      </c>
      <c r="M51" s="496">
        <v>58.6199748952544</v>
      </c>
      <c r="N51" s="498">
        <v>591.528837579385</v>
      </c>
      <c r="O51" s="499">
        <v>170.94</v>
      </c>
      <c r="P51" s="236"/>
      <c r="Q51" s="168"/>
      <c r="AA51" s="168"/>
    </row>
    <row r="52" ht="16.5" customHeight="1" outlineLevel="3" spans="2:27">
      <c r="B52" s="470" t="s">
        <v>1615</v>
      </c>
      <c r="C52" s="473" t="s">
        <v>622</v>
      </c>
      <c r="D52" s="470" t="s">
        <v>1616</v>
      </c>
      <c r="E52" s="479" t="s">
        <v>774</v>
      </c>
      <c r="F52" s="479"/>
      <c r="G52" s="478"/>
      <c r="H52" s="477"/>
      <c r="I52" s="475"/>
      <c r="J52" s="200"/>
      <c r="K52" s="497"/>
      <c r="L52" s="499">
        <v>0</v>
      </c>
      <c r="M52" s="498">
        <v>0</v>
      </c>
      <c r="N52" s="498">
        <v>0</v>
      </c>
      <c r="O52" s="499">
        <v>0</v>
      </c>
      <c r="P52" s="236"/>
      <c r="Q52" s="168"/>
      <c r="AA52" s="168"/>
    </row>
    <row r="53" ht="16.5" customHeight="1" outlineLevel="4" spans="2:27">
      <c r="B53" s="470" t="s">
        <v>1617</v>
      </c>
      <c r="C53" s="473"/>
      <c r="D53" s="476" t="s">
        <v>1975</v>
      </c>
      <c r="E53" s="290"/>
      <c r="F53" s="290" t="s">
        <v>1537</v>
      </c>
      <c r="G53" s="478">
        <v>0.35</v>
      </c>
      <c r="H53" s="477" t="s">
        <v>1015</v>
      </c>
      <c r="I53" s="475">
        <v>34604.4716028656</v>
      </c>
      <c r="J53" s="200"/>
      <c r="K53" s="497">
        <v>0.11</v>
      </c>
      <c r="L53" s="496">
        <v>0</v>
      </c>
      <c r="M53" s="496">
        <v>0</v>
      </c>
      <c r="N53" s="498">
        <v>0</v>
      </c>
      <c r="O53" s="499">
        <v>0</v>
      </c>
      <c r="P53" s="236"/>
      <c r="Q53" s="168"/>
      <c r="AA53" s="168"/>
    </row>
    <row r="54" ht="16.5" customHeight="1" outlineLevel="4" spans="2:27">
      <c r="B54" s="470" t="s">
        <v>1619</v>
      </c>
      <c r="C54" s="473"/>
      <c r="D54" s="476" t="s">
        <v>1624</v>
      </c>
      <c r="E54" s="479"/>
      <c r="F54" s="479" t="s">
        <v>862</v>
      </c>
      <c r="G54" s="478">
        <v>0.2</v>
      </c>
      <c r="H54" s="477" t="s">
        <v>655</v>
      </c>
      <c r="I54" s="475">
        <v>0</v>
      </c>
      <c r="J54" s="200"/>
      <c r="K54" s="497">
        <v>0.11</v>
      </c>
      <c r="L54" s="496">
        <v>0</v>
      </c>
      <c r="M54" s="496">
        <v>0</v>
      </c>
      <c r="N54" s="498">
        <v>0</v>
      </c>
      <c r="O54" s="499">
        <v>0</v>
      </c>
      <c r="P54" s="236"/>
      <c r="Q54" s="168"/>
      <c r="AA54" s="168"/>
    </row>
    <row r="55" ht="16.5" customHeight="1" outlineLevel="3" spans="2:27">
      <c r="B55" s="470" t="s">
        <v>1625</v>
      </c>
      <c r="C55" s="473" t="s">
        <v>622</v>
      </c>
      <c r="D55" s="470" t="s">
        <v>1626</v>
      </c>
      <c r="E55" s="479" t="s">
        <v>774</v>
      </c>
      <c r="F55" s="479"/>
      <c r="G55" s="478"/>
      <c r="H55" s="477"/>
      <c r="I55" s="200"/>
      <c r="J55" s="200"/>
      <c r="K55" s="41"/>
      <c r="L55" s="499">
        <v>0</v>
      </c>
      <c r="M55" s="498">
        <v>0</v>
      </c>
      <c r="N55" s="498">
        <v>0</v>
      </c>
      <c r="O55" s="499">
        <v>0</v>
      </c>
      <c r="P55" s="236"/>
      <c r="Q55" s="168"/>
      <c r="AA55" s="168"/>
    </row>
    <row r="56" ht="16.5" customHeight="1" outlineLevel="4" spans="2:27">
      <c r="B56" s="470" t="s">
        <v>1627</v>
      </c>
      <c r="C56" s="473"/>
      <c r="D56" s="476" t="s">
        <v>1976</v>
      </c>
      <c r="E56" s="290"/>
      <c r="F56" s="290" t="s">
        <v>1537</v>
      </c>
      <c r="G56" s="478">
        <v>1</v>
      </c>
      <c r="H56" s="477" t="s">
        <v>1015</v>
      </c>
      <c r="I56" s="475">
        <v>34604.4716028656</v>
      </c>
      <c r="J56" s="200"/>
      <c r="K56" s="497">
        <v>0.17</v>
      </c>
      <c r="L56" s="496">
        <v>0</v>
      </c>
      <c r="M56" s="496">
        <v>0</v>
      </c>
      <c r="N56" s="498">
        <v>0</v>
      </c>
      <c r="O56" s="499">
        <v>0</v>
      </c>
      <c r="P56" s="236"/>
      <c r="Q56" s="168"/>
      <c r="AA56" s="168"/>
    </row>
    <row r="57" ht="16.5" customHeight="1" outlineLevel="4" spans="2:27">
      <c r="B57" s="470" t="s">
        <v>1629</v>
      </c>
      <c r="C57" s="473"/>
      <c r="D57" s="476" t="s">
        <v>1634</v>
      </c>
      <c r="E57" s="479"/>
      <c r="F57" s="479" t="s">
        <v>862</v>
      </c>
      <c r="G57" s="478">
        <v>0.8</v>
      </c>
      <c r="H57" s="477" t="s">
        <v>655</v>
      </c>
      <c r="I57" s="475">
        <v>0</v>
      </c>
      <c r="J57" s="200"/>
      <c r="K57" s="497">
        <v>0.17</v>
      </c>
      <c r="L57" s="496">
        <v>0</v>
      </c>
      <c r="M57" s="496">
        <v>0</v>
      </c>
      <c r="N57" s="498">
        <v>0</v>
      </c>
      <c r="O57" s="499">
        <v>0</v>
      </c>
      <c r="P57" s="236"/>
      <c r="Q57" s="168"/>
      <c r="AA57" s="168"/>
    </row>
    <row r="58" ht="16.5" customHeight="1" outlineLevel="3" spans="2:27">
      <c r="B58" s="470" t="s">
        <v>1635</v>
      </c>
      <c r="C58" s="473" t="s">
        <v>622</v>
      </c>
      <c r="D58" s="470" t="s">
        <v>1636</v>
      </c>
      <c r="E58" s="479" t="s">
        <v>774</v>
      </c>
      <c r="F58" s="479" t="s">
        <v>601</v>
      </c>
      <c r="G58" s="478"/>
      <c r="H58" s="477" t="s">
        <v>1637</v>
      </c>
      <c r="I58" s="200">
        <v>0</v>
      </c>
      <c r="J58" s="200"/>
      <c r="K58" s="41">
        <v>0.11</v>
      </c>
      <c r="L58" s="496">
        <v>0</v>
      </c>
      <c r="M58" s="496">
        <v>0</v>
      </c>
      <c r="N58" s="498">
        <v>0</v>
      </c>
      <c r="O58" s="499">
        <v>0</v>
      </c>
      <c r="P58" s="236"/>
      <c r="Q58" s="168"/>
      <c r="AA58" s="168"/>
    </row>
    <row r="59" ht="16.5" customHeight="1" outlineLevel="3" spans="2:27">
      <c r="B59" s="470" t="s">
        <v>1638</v>
      </c>
      <c r="C59" s="473" t="s">
        <v>622</v>
      </c>
      <c r="D59" s="470" t="s">
        <v>1639</v>
      </c>
      <c r="E59" s="290" t="s">
        <v>774</v>
      </c>
      <c r="F59" s="290" t="s">
        <v>1537</v>
      </c>
      <c r="G59" s="478"/>
      <c r="H59" s="477" t="s">
        <v>655</v>
      </c>
      <c r="I59" s="475">
        <v>34604.4716028656</v>
      </c>
      <c r="J59" s="200"/>
      <c r="K59" s="497">
        <v>0.11</v>
      </c>
      <c r="L59" s="496">
        <v>0</v>
      </c>
      <c r="M59" s="496">
        <v>0</v>
      </c>
      <c r="N59" s="498">
        <v>0</v>
      </c>
      <c r="O59" s="499">
        <v>0</v>
      </c>
      <c r="P59" s="236"/>
      <c r="Q59" s="168"/>
      <c r="AA59" s="168"/>
    </row>
    <row r="60" ht="16.5" customHeight="1" outlineLevel="3" spans="2:27">
      <c r="B60" s="470" t="s">
        <v>1640</v>
      </c>
      <c r="C60" s="473" t="s">
        <v>622</v>
      </c>
      <c r="D60" s="470" t="s">
        <v>1641</v>
      </c>
      <c r="E60" s="479" t="s">
        <v>774</v>
      </c>
      <c r="F60" s="479"/>
      <c r="G60" s="478"/>
      <c r="H60" s="477"/>
      <c r="I60" s="200"/>
      <c r="J60" s="200"/>
      <c r="K60" s="41">
        <v>0.11</v>
      </c>
      <c r="L60" s="496">
        <v>0</v>
      </c>
      <c r="M60" s="496">
        <v>0</v>
      </c>
      <c r="N60" s="498">
        <v>0</v>
      </c>
      <c r="O60" s="499">
        <v>0</v>
      </c>
      <c r="P60" s="236"/>
      <c r="Q60" s="168"/>
      <c r="AA60" s="168"/>
    </row>
    <row r="61" ht="16.5" customHeight="1" outlineLevel="3" spans="2:27">
      <c r="B61" s="470" t="s">
        <v>1642</v>
      </c>
      <c r="C61" s="473" t="s">
        <v>622</v>
      </c>
      <c r="D61" s="470" t="s">
        <v>1643</v>
      </c>
      <c r="E61" s="479" t="s">
        <v>774</v>
      </c>
      <c r="F61" s="479"/>
      <c r="G61" s="478"/>
      <c r="H61" s="477"/>
      <c r="I61" s="200"/>
      <c r="J61" s="200"/>
      <c r="K61" s="41"/>
      <c r="L61" s="499">
        <v>0</v>
      </c>
      <c r="M61" s="498">
        <v>0</v>
      </c>
      <c r="N61" s="498">
        <v>0</v>
      </c>
      <c r="O61" s="499">
        <v>0</v>
      </c>
      <c r="P61" s="236"/>
      <c r="Q61" s="168"/>
      <c r="AA61" s="168"/>
    </row>
    <row r="62" ht="16.5" customHeight="1" outlineLevel="4" spans="2:27">
      <c r="B62" s="470" t="s">
        <v>1644</v>
      </c>
      <c r="C62" s="473"/>
      <c r="D62" s="476" t="s">
        <v>1645</v>
      </c>
      <c r="E62" s="479"/>
      <c r="F62" s="479" t="s">
        <v>505</v>
      </c>
      <c r="G62" s="478"/>
      <c r="H62" s="477" t="s">
        <v>655</v>
      </c>
      <c r="I62" s="475">
        <v>34604.4716028656</v>
      </c>
      <c r="J62" s="200"/>
      <c r="K62" s="497">
        <v>0.11</v>
      </c>
      <c r="L62" s="496">
        <v>0</v>
      </c>
      <c r="M62" s="496">
        <v>0</v>
      </c>
      <c r="N62" s="498">
        <v>0</v>
      </c>
      <c r="O62" s="499">
        <v>0</v>
      </c>
      <c r="P62" s="236"/>
      <c r="Q62" s="168"/>
      <c r="AA62" s="168"/>
    </row>
    <row r="63" ht="16.5" customHeight="1" outlineLevel="4" spans="2:27">
      <c r="B63" s="470" t="s">
        <v>1646</v>
      </c>
      <c r="C63" s="473"/>
      <c r="D63" s="476" t="s">
        <v>1647</v>
      </c>
      <c r="E63" s="290"/>
      <c r="F63" s="290" t="s">
        <v>1537</v>
      </c>
      <c r="G63" s="478"/>
      <c r="H63" s="477" t="s">
        <v>655</v>
      </c>
      <c r="I63" s="475">
        <v>34604.4716028656</v>
      </c>
      <c r="J63" s="200"/>
      <c r="K63" s="497">
        <v>0.11</v>
      </c>
      <c r="L63" s="496">
        <v>0</v>
      </c>
      <c r="M63" s="496">
        <v>0</v>
      </c>
      <c r="N63" s="498">
        <v>0</v>
      </c>
      <c r="O63" s="499">
        <v>0</v>
      </c>
      <c r="P63" s="236"/>
      <c r="Q63" s="168"/>
      <c r="AA63" s="168"/>
    </row>
    <row r="64" ht="16.5" customHeight="1" outlineLevel="4" spans="2:27">
      <c r="B64" s="470" t="s">
        <v>1648</v>
      </c>
      <c r="C64" s="473"/>
      <c r="D64" s="476" t="s">
        <v>1649</v>
      </c>
      <c r="E64" s="290"/>
      <c r="F64" s="290" t="s">
        <v>1537</v>
      </c>
      <c r="G64" s="478"/>
      <c r="H64" s="477" t="s">
        <v>655</v>
      </c>
      <c r="I64" s="475">
        <v>34604.4716028656</v>
      </c>
      <c r="J64" s="200"/>
      <c r="K64" s="497">
        <v>0.11</v>
      </c>
      <c r="L64" s="496">
        <v>0</v>
      </c>
      <c r="M64" s="496">
        <v>0</v>
      </c>
      <c r="N64" s="498">
        <v>0</v>
      </c>
      <c r="O64" s="499">
        <v>0</v>
      </c>
      <c r="P64" s="236"/>
      <c r="Q64" s="168"/>
      <c r="AA64" s="168"/>
    </row>
    <row r="65" ht="16.5" customHeight="1" outlineLevel="1" spans="2:27">
      <c r="B65" s="121" t="s">
        <v>537</v>
      </c>
      <c r="C65" s="193">
        <v>2</v>
      </c>
      <c r="D65" s="121" t="s">
        <v>538</v>
      </c>
      <c r="E65" s="193"/>
      <c r="F65" s="193"/>
      <c r="G65" s="193"/>
      <c r="H65" s="155"/>
      <c r="I65" s="492"/>
      <c r="J65" s="155"/>
      <c r="K65" s="493"/>
      <c r="L65" s="494">
        <v>1312.54760789669</v>
      </c>
      <c r="M65" s="494">
        <v>163.066651534184</v>
      </c>
      <c r="N65" s="494">
        <v>1475.61425943088</v>
      </c>
      <c r="O65" s="495">
        <v>426.423</v>
      </c>
      <c r="P65" s="233"/>
      <c r="Q65" s="168"/>
      <c r="AA65" s="168"/>
    </row>
    <row r="66" ht="16.5" customHeight="1" outlineLevel="2" spans="2:27">
      <c r="B66" s="470" t="s">
        <v>1650</v>
      </c>
      <c r="C66" s="471" t="s">
        <v>619</v>
      </c>
      <c r="D66" s="470" t="s">
        <v>1651</v>
      </c>
      <c r="E66" s="479"/>
      <c r="F66" s="479"/>
      <c r="G66" s="198"/>
      <c r="H66" s="108"/>
      <c r="I66" s="200"/>
      <c r="J66" s="200"/>
      <c r="K66" s="41"/>
      <c r="L66" s="498">
        <v>621.496309987467</v>
      </c>
      <c r="M66" s="498">
        <v>80.822203875653</v>
      </c>
      <c r="N66" s="498">
        <v>702.31851386312</v>
      </c>
      <c r="O66" s="499">
        <v>202.956</v>
      </c>
      <c r="P66" s="236"/>
      <c r="Q66" s="168"/>
      <c r="AA66" s="168"/>
    </row>
    <row r="67" ht="16.5" customHeight="1" outlineLevel="3" spans="2:27">
      <c r="B67" s="470" t="s">
        <v>1652</v>
      </c>
      <c r="C67" s="473" t="s">
        <v>622</v>
      </c>
      <c r="D67" s="470" t="s">
        <v>1653</v>
      </c>
      <c r="E67" s="290" t="s">
        <v>774</v>
      </c>
      <c r="F67" s="290" t="s">
        <v>1537</v>
      </c>
      <c r="G67" s="200">
        <v>1</v>
      </c>
      <c r="H67" s="108" t="s">
        <v>655</v>
      </c>
      <c r="I67" s="475">
        <v>34604.4716028656</v>
      </c>
      <c r="J67" s="200">
        <v>20</v>
      </c>
      <c r="K67" s="497">
        <v>0.11</v>
      </c>
      <c r="L67" s="496">
        <v>69.2089432057313</v>
      </c>
      <c r="M67" s="496">
        <v>7.61298375263044</v>
      </c>
      <c r="N67" s="498">
        <v>76.8219269583617</v>
      </c>
      <c r="O67" s="499">
        <v>22.2</v>
      </c>
      <c r="P67" s="236"/>
      <c r="Q67" s="168"/>
      <c r="AA67" s="168"/>
    </row>
    <row r="68" ht="16.5" customHeight="1" outlineLevel="3" spans="2:27">
      <c r="B68" s="470" t="s">
        <v>1654</v>
      </c>
      <c r="C68" s="473" t="s">
        <v>622</v>
      </c>
      <c r="D68" s="470" t="s">
        <v>1655</v>
      </c>
      <c r="E68" s="479" t="s">
        <v>880</v>
      </c>
      <c r="F68" s="479" t="s">
        <v>601</v>
      </c>
      <c r="G68" s="200">
        <v>1</v>
      </c>
      <c r="H68" s="108" t="s">
        <v>1681</v>
      </c>
      <c r="I68" s="200">
        <v>0</v>
      </c>
      <c r="J68" s="200"/>
      <c r="K68" s="41">
        <v>0.11</v>
      </c>
      <c r="L68" s="496">
        <v>0</v>
      </c>
      <c r="M68" s="496">
        <v>0</v>
      </c>
      <c r="N68" s="498">
        <v>0</v>
      </c>
      <c r="O68" s="499">
        <v>0</v>
      </c>
      <c r="P68" s="236"/>
      <c r="Q68" s="168"/>
      <c r="AA68" s="168"/>
    </row>
    <row r="69" ht="16.5" customHeight="1" outlineLevel="3" spans="2:27">
      <c r="B69" s="470" t="s">
        <v>1656</v>
      </c>
      <c r="C69" s="473" t="s">
        <v>622</v>
      </c>
      <c r="D69" s="470" t="s">
        <v>1657</v>
      </c>
      <c r="E69" s="479" t="s">
        <v>891</v>
      </c>
      <c r="F69" s="479" t="s">
        <v>601</v>
      </c>
      <c r="G69" s="200">
        <v>1</v>
      </c>
      <c r="H69" s="108" t="s">
        <v>655</v>
      </c>
      <c r="I69" s="475">
        <v>34604.4716028656</v>
      </c>
      <c r="J69" s="200"/>
      <c r="K69" s="41">
        <v>0.17</v>
      </c>
      <c r="L69" s="496">
        <v>0</v>
      </c>
      <c r="M69" s="496">
        <v>0</v>
      </c>
      <c r="N69" s="498">
        <v>0</v>
      </c>
      <c r="O69" s="499">
        <v>0</v>
      </c>
      <c r="P69" s="236"/>
      <c r="Q69" s="168"/>
      <c r="AA69" s="168"/>
    </row>
    <row r="70" ht="16.5" customHeight="1" outlineLevel="3" spans="2:27">
      <c r="B70" s="470" t="s">
        <v>1658</v>
      </c>
      <c r="C70" s="473" t="s">
        <v>622</v>
      </c>
      <c r="D70" s="470" t="s">
        <v>1659</v>
      </c>
      <c r="E70" s="479" t="s">
        <v>891</v>
      </c>
      <c r="F70" s="479" t="s">
        <v>601</v>
      </c>
      <c r="G70" s="200">
        <v>1</v>
      </c>
      <c r="H70" s="108" t="s">
        <v>655</v>
      </c>
      <c r="I70" s="475">
        <v>34604.4716028656</v>
      </c>
      <c r="J70" s="200"/>
      <c r="K70" s="41">
        <v>0.17</v>
      </c>
      <c r="L70" s="496">
        <v>0</v>
      </c>
      <c r="M70" s="496">
        <v>0</v>
      </c>
      <c r="N70" s="498">
        <v>0</v>
      </c>
      <c r="O70" s="499">
        <v>0</v>
      </c>
      <c r="P70" s="236"/>
      <c r="Q70" s="168"/>
      <c r="AA70" s="168"/>
    </row>
    <row r="71" ht="16.5" customHeight="1" outlineLevel="3" spans="2:27">
      <c r="B71" s="470" t="s">
        <v>1660</v>
      </c>
      <c r="C71" s="473" t="s">
        <v>622</v>
      </c>
      <c r="D71" s="470" t="s">
        <v>1977</v>
      </c>
      <c r="E71" s="479" t="s">
        <v>774</v>
      </c>
      <c r="F71" s="479" t="s">
        <v>505</v>
      </c>
      <c r="G71" s="200">
        <v>1</v>
      </c>
      <c r="H71" s="108" t="s">
        <v>655</v>
      </c>
      <c r="I71" s="200">
        <v>34604.4716028656</v>
      </c>
      <c r="J71" s="475"/>
      <c r="K71" s="41">
        <v>0.11</v>
      </c>
      <c r="L71" s="496">
        <v>0</v>
      </c>
      <c r="M71" s="496">
        <v>0</v>
      </c>
      <c r="N71" s="498">
        <v>0</v>
      </c>
      <c r="O71" s="499">
        <v>0</v>
      </c>
      <c r="P71" s="236"/>
      <c r="Q71" s="168"/>
      <c r="AA71" s="168"/>
    </row>
    <row r="72" ht="16.5" customHeight="1" outlineLevel="3" spans="2:27">
      <c r="B72" s="470" t="s">
        <v>1662</v>
      </c>
      <c r="C72" s="473" t="s">
        <v>622</v>
      </c>
      <c r="D72" s="470" t="s">
        <v>1663</v>
      </c>
      <c r="E72" s="479"/>
      <c r="F72" s="479"/>
      <c r="G72" s="200">
        <v>1</v>
      </c>
      <c r="H72" s="108" t="s">
        <v>655</v>
      </c>
      <c r="I72" s="200"/>
      <c r="J72" s="200"/>
      <c r="K72" s="41">
        <v>0.11</v>
      </c>
      <c r="L72" s="496">
        <v>0</v>
      </c>
      <c r="M72" s="496">
        <v>0</v>
      </c>
      <c r="N72" s="498">
        <v>0</v>
      </c>
      <c r="O72" s="499">
        <v>0</v>
      </c>
      <c r="P72" s="236"/>
      <c r="Q72" s="168"/>
      <c r="AA72" s="168"/>
    </row>
    <row r="73" ht="16.5" customHeight="1" outlineLevel="3" spans="2:27">
      <c r="B73" s="470" t="s">
        <v>1664</v>
      </c>
      <c r="C73" s="473" t="s">
        <v>622</v>
      </c>
      <c r="D73" s="470" t="s">
        <v>1665</v>
      </c>
      <c r="E73" s="479" t="s">
        <v>774</v>
      </c>
      <c r="F73" s="479"/>
      <c r="G73" s="200">
        <v>1</v>
      </c>
      <c r="H73" s="108" t="s">
        <v>655</v>
      </c>
      <c r="I73" s="200"/>
      <c r="J73" s="200"/>
      <c r="K73" s="41">
        <v>0.11</v>
      </c>
      <c r="L73" s="496">
        <v>0</v>
      </c>
      <c r="M73" s="496">
        <v>0</v>
      </c>
      <c r="N73" s="498">
        <v>0</v>
      </c>
      <c r="O73" s="499">
        <v>0</v>
      </c>
      <c r="P73" s="236"/>
      <c r="Q73" s="168"/>
      <c r="AA73" s="168"/>
    </row>
    <row r="74" ht="16.5" customHeight="1" outlineLevel="3" spans="2:27">
      <c r="B74" s="470" t="s">
        <v>1666</v>
      </c>
      <c r="C74" s="473" t="s">
        <v>622</v>
      </c>
      <c r="D74" s="470" t="s">
        <v>1667</v>
      </c>
      <c r="E74" s="479" t="s">
        <v>913</v>
      </c>
      <c r="F74" s="479" t="s">
        <v>601</v>
      </c>
      <c r="G74" s="200">
        <v>1</v>
      </c>
      <c r="H74" s="108" t="s">
        <v>1668</v>
      </c>
      <c r="I74" s="200">
        <v>0</v>
      </c>
      <c r="J74" s="200"/>
      <c r="K74" s="41">
        <v>0.11</v>
      </c>
      <c r="L74" s="496">
        <v>0</v>
      </c>
      <c r="M74" s="496">
        <v>0</v>
      </c>
      <c r="N74" s="498">
        <v>0</v>
      </c>
      <c r="O74" s="499">
        <v>0</v>
      </c>
      <c r="P74" s="236"/>
      <c r="Q74" s="168"/>
      <c r="AA74" s="168"/>
    </row>
    <row r="75" ht="16.5" customHeight="1" outlineLevel="3" spans="2:27">
      <c r="B75" s="470" t="s">
        <v>1669</v>
      </c>
      <c r="C75" s="473" t="s">
        <v>622</v>
      </c>
      <c r="D75" s="470" t="s">
        <v>1670</v>
      </c>
      <c r="E75" s="290" t="s">
        <v>774</v>
      </c>
      <c r="F75" s="290" t="s">
        <v>1537</v>
      </c>
      <c r="G75" s="200">
        <v>1</v>
      </c>
      <c r="H75" s="108" t="s">
        <v>655</v>
      </c>
      <c r="I75" s="475">
        <v>34604.4716028656</v>
      </c>
      <c r="J75" s="200">
        <v>94.6</v>
      </c>
      <c r="K75" s="497">
        <v>0.11</v>
      </c>
      <c r="L75" s="496">
        <v>327.358301363109</v>
      </c>
      <c r="M75" s="496">
        <v>36.009413149942</v>
      </c>
      <c r="N75" s="498">
        <v>363.367714513051</v>
      </c>
      <c r="O75" s="499">
        <v>105.006</v>
      </c>
      <c r="P75" s="236"/>
      <c r="Q75" s="168"/>
      <c r="AA75" s="168"/>
    </row>
    <row r="76" ht="16.5" customHeight="1" outlineLevel="3" spans="2:27">
      <c r="B76" s="470" t="s">
        <v>1671</v>
      </c>
      <c r="C76" s="473" t="s">
        <v>622</v>
      </c>
      <c r="D76" s="470" t="s">
        <v>1672</v>
      </c>
      <c r="E76" s="479" t="s">
        <v>891</v>
      </c>
      <c r="F76" s="479" t="s">
        <v>601</v>
      </c>
      <c r="G76" s="200">
        <v>1</v>
      </c>
      <c r="H76" s="108" t="s">
        <v>655</v>
      </c>
      <c r="I76" s="475">
        <v>34604.4716028656</v>
      </c>
      <c r="J76" s="514"/>
      <c r="K76" s="41">
        <v>0.17</v>
      </c>
      <c r="L76" s="496">
        <v>0</v>
      </c>
      <c r="M76" s="496">
        <v>0</v>
      </c>
      <c r="N76" s="498">
        <v>0</v>
      </c>
      <c r="O76" s="499">
        <v>0</v>
      </c>
      <c r="P76" s="236"/>
      <c r="Q76" s="168"/>
      <c r="AA76" s="168"/>
    </row>
    <row r="77" ht="16.5" customHeight="1" outlineLevel="3" spans="2:27">
      <c r="B77" s="470" t="s">
        <v>1673</v>
      </c>
      <c r="C77" s="473" t="s">
        <v>622</v>
      </c>
      <c r="D77" s="470" t="s">
        <v>1674</v>
      </c>
      <c r="E77" s="479" t="s">
        <v>943</v>
      </c>
      <c r="F77" s="479" t="s">
        <v>601</v>
      </c>
      <c r="G77" s="200">
        <v>1</v>
      </c>
      <c r="H77" s="108" t="s">
        <v>655</v>
      </c>
      <c r="I77" s="475">
        <v>34604.4716028656</v>
      </c>
      <c r="J77" s="200"/>
      <c r="K77" s="41">
        <v>0.17</v>
      </c>
      <c r="L77" s="496">
        <v>0</v>
      </c>
      <c r="M77" s="496">
        <v>0</v>
      </c>
      <c r="N77" s="498">
        <v>0</v>
      </c>
      <c r="O77" s="499">
        <v>0</v>
      </c>
      <c r="P77" s="236"/>
      <c r="Q77" s="168"/>
      <c r="AA77" s="168"/>
    </row>
    <row r="78" ht="16.5" customHeight="1" outlineLevel="3" spans="2:27">
      <c r="B78" s="470" t="s">
        <v>1675</v>
      </c>
      <c r="C78" s="473" t="s">
        <v>622</v>
      </c>
      <c r="D78" s="470" t="s">
        <v>1676</v>
      </c>
      <c r="E78" s="479" t="s">
        <v>943</v>
      </c>
      <c r="F78" s="479" t="s">
        <v>601</v>
      </c>
      <c r="G78" s="200">
        <v>1</v>
      </c>
      <c r="H78" s="108" t="s">
        <v>655</v>
      </c>
      <c r="I78" s="475">
        <v>34604.4716028656</v>
      </c>
      <c r="J78" s="200">
        <v>60</v>
      </c>
      <c r="K78" s="41">
        <v>0.17</v>
      </c>
      <c r="L78" s="496">
        <v>207.626829617194</v>
      </c>
      <c r="M78" s="496">
        <v>35.296561034923</v>
      </c>
      <c r="N78" s="498">
        <v>242.923390652117</v>
      </c>
      <c r="O78" s="499">
        <v>70.2</v>
      </c>
      <c r="P78" s="236"/>
      <c r="Q78" s="168"/>
      <c r="AA78" s="168"/>
    </row>
    <row r="79" ht="16.5" customHeight="1" outlineLevel="3" spans="2:27">
      <c r="B79" s="470" t="s">
        <v>1677</v>
      </c>
      <c r="C79" s="473" t="s">
        <v>622</v>
      </c>
      <c r="D79" s="470" t="s">
        <v>1678</v>
      </c>
      <c r="E79" s="479" t="s">
        <v>1359</v>
      </c>
      <c r="F79" s="290" t="s">
        <v>1537</v>
      </c>
      <c r="G79" s="200">
        <v>1</v>
      </c>
      <c r="H79" s="108" t="s">
        <v>1681</v>
      </c>
      <c r="I79" s="200">
        <v>34604.4716028656</v>
      </c>
      <c r="J79" s="200"/>
      <c r="K79" s="41">
        <v>0.17</v>
      </c>
      <c r="L79" s="496">
        <v>0</v>
      </c>
      <c r="M79" s="496">
        <v>0</v>
      </c>
      <c r="N79" s="498">
        <v>0</v>
      </c>
      <c r="O79" s="499">
        <v>0</v>
      </c>
      <c r="P79" s="236"/>
      <c r="Q79" s="168"/>
      <c r="AA79" s="168"/>
    </row>
    <row r="80" ht="16.5" customHeight="1" outlineLevel="3" spans="2:27">
      <c r="B80" s="470" t="s">
        <v>1679</v>
      </c>
      <c r="C80" s="473" t="s">
        <v>622</v>
      </c>
      <c r="D80" s="470" t="s">
        <v>1978</v>
      </c>
      <c r="E80" s="479" t="s">
        <v>1359</v>
      </c>
      <c r="F80" s="290" t="s">
        <v>1537</v>
      </c>
      <c r="G80" s="200"/>
      <c r="H80" s="108" t="s">
        <v>655</v>
      </c>
      <c r="I80" s="475">
        <v>34604.4716028656</v>
      </c>
      <c r="J80" s="200">
        <v>20</v>
      </c>
      <c r="K80" s="497">
        <v>0.17</v>
      </c>
      <c r="L80" s="496">
        <v>0</v>
      </c>
      <c r="M80" s="496">
        <v>0</v>
      </c>
      <c r="N80" s="498">
        <v>0</v>
      </c>
      <c r="O80" s="499">
        <v>0</v>
      </c>
      <c r="P80" s="236"/>
      <c r="Q80" s="168"/>
      <c r="AA80" s="168"/>
    </row>
    <row r="81" ht="16.5" customHeight="1" outlineLevel="3" spans="2:27">
      <c r="B81" s="470" t="s">
        <v>1682</v>
      </c>
      <c r="C81" s="473" t="s">
        <v>622</v>
      </c>
      <c r="D81" s="470" t="s">
        <v>1683</v>
      </c>
      <c r="E81" s="504" t="s">
        <v>928</v>
      </c>
      <c r="F81" s="479" t="s">
        <v>601</v>
      </c>
      <c r="G81" s="200"/>
      <c r="H81" s="108" t="s">
        <v>1681</v>
      </c>
      <c r="I81" s="475">
        <v>34604.4716028656</v>
      </c>
      <c r="J81" s="200"/>
      <c r="K81" s="41">
        <v>0.17</v>
      </c>
      <c r="L81" s="496">
        <v>0</v>
      </c>
      <c r="M81" s="496">
        <v>0</v>
      </c>
      <c r="N81" s="498">
        <v>0</v>
      </c>
      <c r="O81" s="499">
        <v>0</v>
      </c>
      <c r="P81" s="236"/>
      <c r="Q81" s="168"/>
      <c r="AA81" s="168"/>
    </row>
    <row r="82" ht="16.5" customHeight="1" outlineLevel="3" spans="2:27">
      <c r="B82" s="470" t="s">
        <v>1684</v>
      </c>
      <c r="C82" s="473" t="s">
        <v>622</v>
      </c>
      <c r="D82" s="470" t="s">
        <v>1685</v>
      </c>
      <c r="E82" s="479" t="s">
        <v>774</v>
      </c>
      <c r="F82" s="479" t="s">
        <v>505</v>
      </c>
      <c r="G82" s="200">
        <v>1</v>
      </c>
      <c r="H82" s="108" t="s">
        <v>655</v>
      </c>
      <c r="I82" s="200">
        <v>34604.4716028656</v>
      </c>
      <c r="J82" s="200">
        <v>5</v>
      </c>
      <c r="K82" s="41">
        <v>0.11</v>
      </c>
      <c r="L82" s="496">
        <v>17.3022358014328</v>
      </c>
      <c r="M82" s="496">
        <v>1.90324593815761</v>
      </c>
      <c r="N82" s="498">
        <v>19.2054817395904</v>
      </c>
      <c r="O82" s="499">
        <v>5.55</v>
      </c>
      <c r="P82" s="236"/>
      <c r="Q82" s="168"/>
      <c r="AA82" s="168"/>
    </row>
    <row r="83" ht="16.5" customHeight="1" outlineLevel="2" spans="2:27">
      <c r="B83" s="470" t="s">
        <v>1686</v>
      </c>
      <c r="C83" s="471" t="s">
        <v>657</v>
      </c>
      <c r="D83" s="470" t="s">
        <v>1687</v>
      </c>
      <c r="E83" s="479"/>
      <c r="F83" s="479"/>
      <c r="G83" s="198"/>
      <c r="H83" s="108"/>
      <c r="I83" s="200"/>
      <c r="J83" s="200"/>
      <c r="K83" s="41"/>
      <c r="L83" s="515">
        <v>691.051297909227</v>
      </c>
      <c r="M83" s="515">
        <v>82.2444476585307</v>
      </c>
      <c r="N83" s="515">
        <v>773.295745567757</v>
      </c>
      <c r="O83" s="499">
        <v>223.467</v>
      </c>
      <c r="P83" s="236"/>
      <c r="Q83" s="168"/>
      <c r="AA83" s="168"/>
    </row>
    <row r="84" ht="16.5" customHeight="1" outlineLevel="3" spans="2:27">
      <c r="B84" s="470" t="s">
        <v>1688</v>
      </c>
      <c r="C84" s="473" t="s">
        <v>622</v>
      </c>
      <c r="D84" s="470" t="s">
        <v>1689</v>
      </c>
      <c r="E84" s="479" t="s">
        <v>1360</v>
      </c>
      <c r="F84" s="479" t="s">
        <v>602</v>
      </c>
      <c r="G84" s="200">
        <v>2</v>
      </c>
      <c r="H84" s="108" t="s">
        <v>1690</v>
      </c>
      <c r="I84" s="200">
        <v>0</v>
      </c>
      <c r="J84" s="516"/>
      <c r="K84" s="41">
        <v>0.17</v>
      </c>
      <c r="L84" s="496">
        <v>0</v>
      </c>
      <c r="M84" s="496">
        <v>0</v>
      </c>
      <c r="N84" s="498">
        <v>0</v>
      </c>
      <c r="O84" s="499">
        <v>0</v>
      </c>
      <c r="P84" s="236"/>
      <c r="Q84" s="168"/>
      <c r="AA84" s="168"/>
    </row>
    <row r="85" ht="16.5" customHeight="1" outlineLevel="3" spans="2:27">
      <c r="B85" s="470" t="s">
        <v>1691</v>
      </c>
      <c r="C85" s="473" t="s">
        <v>622</v>
      </c>
      <c r="D85" s="470" t="s">
        <v>1692</v>
      </c>
      <c r="E85" s="479" t="s">
        <v>1361</v>
      </c>
      <c r="F85" s="479" t="s">
        <v>602</v>
      </c>
      <c r="G85" s="200">
        <v>2</v>
      </c>
      <c r="H85" s="108" t="s">
        <v>1690</v>
      </c>
      <c r="I85" s="200">
        <v>0</v>
      </c>
      <c r="J85" s="516"/>
      <c r="K85" s="41">
        <v>0.11</v>
      </c>
      <c r="L85" s="496">
        <v>0</v>
      </c>
      <c r="M85" s="496">
        <v>0</v>
      </c>
      <c r="N85" s="498">
        <v>0</v>
      </c>
      <c r="O85" s="499">
        <v>0</v>
      </c>
      <c r="P85" s="236"/>
      <c r="Q85" s="168"/>
      <c r="AA85" s="168"/>
    </row>
    <row r="86" ht="16.5" customHeight="1" outlineLevel="3" spans="2:27">
      <c r="B86" s="470" t="s">
        <v>1693</v>
      </c>
      <c r="C86" s="473" t="s">
        <v>622</v>
      </c>
      <c r="D86" s="470" t="s">
        <v>1694</v>
      </c>
      <c r="E86" s="290" t="s">
        <v>931</v>
      </c>
      <c r="F86" s="290" t="s">
        <v>1537</v>
      </c>
      <c r="G86" s="200">
        <v>1</v>
      </c>
      <c r="H86" s="108" t="s">
        <v>655</v>
      </c>
      <c r="I86" s="475">
        <v>34604.4716028656</v>
      </c>
      <c r="J86" s="200">
        <v>95.7</v>
      </c>
      <c r="K86" s="497">
        <v>0.11</v>
      </c>
      <c r="L86" s="496">
        <v>331.164793239424</v>
      </c>
      <c r="M86" s="496">
        <v>36.4281272563367</v>
      </c>
      <c r="N86" s="498">
        <v>367.592920495761</v>
      </c>
      <c r="O86" s="499">
        <v>106.227</v>
      </c>
      <c r="P86" s="236"/>
      <c r="Q86" s="168"/>
      <c r="AA86" s="168"/>
    </row>
    <row r="87" ht="16.5" customHeight="1" outlineLevel="3" spans="2:27">
      <c r="B87" s="470" t="s">
        <v>1695</v>
      </c>
      <c r="C87" s="473" t="s">
        <v>622</v>
      </c>
      <c r="D87" s="470" t="s">
        <v>1696</v>
      </c>
      <c r="E87" s="290" t="s">
        <v>943</v>
      </c>
      <c r="F87" s="290" t="s">
        <v>1537</v>
      </c>
      <c r="G87" s="200">
        <v>1</v>
      </c>
      <c r="H87" s="108" t="s">
        <v>655</v>
      </c>
      <c r="I87" s="475">
        <v>34604.4716028656</v>
      </c>
      <c r="J87" s="200">
        <v>30</v>
      </c>
      <c r="K87" s="497">
        <v>0.17</v>
      </c>
      <c r="L87" s="496">
        <v>103.813414808597</v>
      </c>
      <c r="M87" s="496">
        <v>17.6482805174615</v>
      </c>
      <c r="N87" s="498">
        <v>121.461695326058</v>
      </c>
      <c r="O87" s="499">
        <v>35.1</v>
      </c>
      <c r="P87" s="236"/>
      <c r="Q87" s="168"/>
      <c r="AA87" s="168"/>
    </row>
    <row r="88" ht="16.5" customHeight="1" outlineLevel="3" spans="2:27">
      <c r="B88" s="470" t="s">
        <v>1697</v>
      </c>
      <c r="C88" s="473" t="s">
        <v>622</v>
      </c>
      <c r="D88" s="470" t="s">
        <v>1698</v>
      </c>
      <c r="E88" s="479" t="s">
        <v>1406</v>
      </c>
      <c r="F88" s="479" t="s">
        <v>505</v>
      </c>
      <c r="G88" s="200">
        <v>1</v>
      </c>
      <c r="H88" s="108" t="s">
        <v>655</v>
      </c>
      <c r="I88" s="475">
        <v>34604.4716028656</v>
      </c>
      <c r="J88" s="200">
        <v>74</v>
      </c>
      <c r="K88" s="41">
        <v>0.11</v>
      </c>
      <c r="L88" s="496">
        <v>256.073089861206</v>
      </c>
      <c r="M88" s="496">
        <v>28.1680398847326</v>
      </c>
      <c r="N88" s="498">
        <v>284.241129745938</v>
      </c>
      <c r="O88" s="499">
        <v>82.14</v>
      </c>
      <c r="P88" s="236"/>
      <c r="Q88" s="168"/>
      <c r="AA88" s="168"/>
    </row>
    <row r="89" ht="16.5" customHeight="1" outlineLevel="3" spans="2:27">
      <c r="B89" s="470" t="s">
        <v>1699</v>
      </c>
      <c r="C89" s="473" t="s">
        <v>622</v>
      </c>
      <c r="D89" s="470" t="s">
        <v>1700</v>
      </c>
      <c r="E89" s="479"/>
      <c r="F89" s="479" t="s">
        <v>505</v>
      </c>
      <c r="G89" s="200">
        <v>1</v>
      </c>
      <c r="H89" s="108" t="s">
        <v>655</v>
      </c>
      <c r="I89" s="200"/>
      <c r="J89" s="200"/>
      <c r="K89" s="41">
        <v>0.11</v>
      </c>
      <c r="L89" s="496">
        <v>0</v>
      </c>
      <c r="M89" s="496">
        <v>0</v>
      </c>
      <c r="N89" s="498">
        <v>0</v>
      </c>
      <c r="O89" s="499">
        <v>0</v>
      </c>
      <c r="P89" s="236"/>
      <c r="Q89" s="168"/>
      <c r="AA89" s="168"/>
    </row>
    <row r="90" ht="16.5" customHeight="1" outlineLevel="3" spans="2:27">
      <c r="B90" s="470" t="s">
        <v>1701</v>
      </c>
      <c r="C90" s="473" t="s">
        <v>622</v>
      </c>
      <c r="D90" s="470" t="s">
        <v>1702</v>
      </c>
      <c r="E90" s="479"/>
      <c r="F90" s="479" t="s">
        <v>505</v>
      </c>
      <c r="G90" s="200">
        <v>1</v>
      </c>
      <c r="H90" s="108" t="s">
        <v>655</v>
      </c>
      <c r="I90" s="200"/>
      <c r="J90" s="200"/>
      <c r="K90" s="41">
        <v>0.11</v>
      </c>
      <c r="L90" s="496">
        <v>0</v>
      </c>
      <c r="M90" s="496">
        <v>0</v>
      </c>
      <c r="N90" s="498">
        <v>0</v>
      </c>
      <c r="O90" s="499">
        <v>0</v>
      </c>
      <c r="P90" s="236"/>
      <c r="Q90" s="168"/>
      <c r="AA90" s="168"/>
    </row>
    <row r="91" ht="15.75" customHeight="1" spans="2:27">
      <c r="B91" s="468" t="s">
        <v>1703</v>
      </c>
      <c r="C91" s="469" t="s">
        <v>547</v>
      </c>
      <c r="D91" s="468" t="s">
        <v>482</v>
      </c>
      <c r="E91" s="192"/>
      <c r="F91" s="192"/>
      <c r="G91" s="192"/>
      <c r="H91" s="206"/>
      <c r="I91" s="488"/>
      <c r="J91" s="488"/>
      <c r="K91" s="488"/>
      <c r="L91" s="490">
        <v>0</v>
      </c>
      <c r="M91" s="490">
        <v>0</v>
      </c>
      <c r="N91" s="490">
        <v>0</v>
      </c>
      <c r="O91" s="491">
        <v>0</v>
      </c>
      <c r="P91" s="251"/>
      <c r="Q91" s="168"/>
      <c r="AA91" s="168"/>
    </row>
    <row r="92" ht="15.75" customHeight="1" outlineLevel="1" spans="2:27">
      <c r="B92" s="505" t="s">
        <v>1704</v>
      </c>
      <c r="C92" s="506">
        <v>1</v>
      </c>
      <c r="D92" s="505" t="s">
        <v>1705</v>
      </c>
      <c r="E92" s="193"/>
      <c r="F92" s="193"/>
      <c r="G92" s="193"/>
      <c r="H92" s="155"/>
      <c r="I92" s="492"/>
      <c r="J92" s="492"/>
      <c r="K92" s="492"/>
      <c r="L92" s="494">
        <v>0</v>
      </c>
      <c r="M92" s="494">
        <v>0</v>
      </c>
      <c r="N92" s="494">
        <v>0</v>
      </c>
      <c r="O92" s="545">
        <v>0</v>
      </c>
      <c r="P92" s="233"/>
      <c r="Q92" s="168"/>
      <c r="AA92" s="168"/>
    </row>
    <row r="93" ht="15.75" customHeight="1" outlineLevel="2" spans="2:27">
      <c r="B93" s="470" t="s">
        <v>1706</v>
      </c>
      <c r="C93" s="471" t="s">
        <v>619</v>
      </c>
      <c r="D93" s="470" t="s">
        <v>1707</v>
      </c>
      <c r="E93" s="290" t="s">
        <v>1363</v>
      </c>
      <c r="F93" s="290" t="s">
        <v>1537</v>
      </c>
      <c r="G93" s="200">
        <v>1</v>
      </c>
      <c r="H93" s="108" t="s">
        <v>655</v>
      </c>
      <c r="I93" s="475"/>
      <c r="J93" s="475"/>
      <c r="K93" s="497">
        <v>0.11</v>
      </c>
      <c r="L93" s="477">
        <v>0</v>
      </c>
      <c r="M93" s="475">
        <v>0</v>
      </c>
      <c r="N93" s="498">
        <v>0</v>
      </c>
      <c r="O93" s="144">
        <v>0</v>
      </c>
      <c r="P93" s="309"/>
      <c r="Q93" s="168"/>
      <c r="AA93" s="168"/>
    </row>
    <row r="94" ht="15.75" customHeight="1" outlineLevel="2" spans="2:27">
      <c r="B94" s="470" t="s">
        <v>1708</v>
      </c>
      <c r="C94" s="471" t="s">
        <v>657</v>
      </c>
      <c r="D94" s="470" t="s">
        <v>1709</v>
      </c>
      <c r="E94" s="290" t="s">
        <v>1364</v>
      </c>
      <c r="F94" s="290" t="s">
        <v>1537</v>
      </c>
      <c r="G94" s="200">
        <v>1</v>
      </c>
      <c r="H94" s="108" t="s">
        <v>655</v>
      </c>
      <c r="I94" s="475"/>
      <c r="J94" s="475"/>
      <c r="K94" s="497">
        <v>0.11</v>
      </c>
      <c r="L94" s="477">
        <v>0</v>
      </c>
      <c r="M94" s="475">
        <v>0</v>
      </c>
      <c r="N94" s="498">
        <v>0</v>
      </c>
      <c r="O94" s="144">
        <v>0</v>
      </c>
      <c r="P94" s="309"/>
      <c r="Q94" s="168"/>
      <c r="AA94" s="168"/>
    </row>
    <row r="95" ht="15.75" customHeight="1" outlineLevel="2" spans="2:27">
      <c r="B95" s="470" t="s">
        <v>1710</v>
      </c>
      <c r="C95" s="471" t="s">
        <v>762</v>
      </c>
      <c r="D95" s="470" t="s">
        <v>1711</v>
      </c>
      <c r="E95" s="290" t="s">
        <v>1365</v>
      </c>
      <c r="F95" s="290" t="s">
        <v>1537</v>
      </c>
      <c r="G95" s="200">
        <v>1</v>
      </c>
      <c r="H95" s="108" t="s">
        <v>655</v>
      </c>
      <c r="I95" s="475"/>
      <c r="J95" s="475"/>
      <c r="K95" s="497">
        <v>0.11</v>
      </c>
      <c r="L95" s="477">
        <v>0</v>
      </c>
      <c r="M95" s="475">
        <v>0</v>
      </c>
      <c r="N95" s="498">
        <v>0</v>
      </c>
      <c r="O95" s="144">
        <v>0</v>
      </c>
      <c r="P95" s="309"/>
      <c r="Q95" s="168"/>
      <c r="AA95" s="168"/>
    </row>
    <row r="96" ht="15.75" customHeight="1" outlineLevel="2" spans="2:27">
      <c r="B96" s="470" t="s">
        <v>1712</v>
      </c>
      <c r="C96" s="471" t="s">
        <v>778</v>
      </c>
      <c r="D96" s="470" t="s">
        <v>1713</v>
      </c>
      <c r="E96" s="290" t="s">
        <v>1367</v>
      </c>
      <c r="F96" s="290" t="s">
        <v>1537</v>
      </c>
      <c r="G96" s="200">
        <v>1</v>
      </c>
      <c r="H96" s="108" t="s">
        <v>655</v>
      </c>
      <c r="I96" s="475"/>
      <c r="J96" s="475"/>
      <c r="K96" s="497">
        <v>0.11</v>
      </c>
      <c r="L96" s="477">
        <v>0</v>
      </c>
      <c r="M96" s="475">
        <v>0</v>
      </c>
      <c r="N96" s="498">
        <v>0</v>
      </c>
      <c r="O96" s="144">
        <v>0</v>
      </c>
      <c r="P96" s="309"/>
      <c r="Q96" s="168"/>
      <c r="AA96" s="168"/>
    </row>
    <row r="97" ht="15.75" customHeight="1" outlineLevel="2" spans="2:27">
      <c r="B97" s="470" t="s">
        <v>1714</v>
      </c>
      <c r="C97" s="471" t="s">
        <v>781</v>
      </c>
      <c r="D97" s="470" t="s">
        <v>1715</v>
      </c>
      <c r="E97" s="290" t="s">
        <v>1368</v>
      </c>
      <c r="F97" s="290" t="s">
        <v>1537</v>
      </c>
      <c r="G97" s="200">
        <v>1</v>
      </c>
      <c r="H97" s="108" t="s">
        <v>655</v>
      </c>
      <c r="I97" s="475"/>
      <c r="J97" s="475"/>
      <c r="K97" s="497">
        <v>0.11</v>
      </c>
      <c r="L97" s="477">
        <v>0</v>
      </c>
      <c r="M97" s="475">
        <v>0</v>
      </c>
      <c r="N97" s="498">
        <v>0</v>
      </c>
      <c r="O97" s="144">
        <v>0</v>
      </c>
      <c r="P97" s="309"/>
      <c r="Q97" s="168"/>
      <c r="AA97" s="168"/>
    </row>
    <row r="98" ht="15.75" customHeight="1" outlineLevel="2" spans="2:27">
      <c r="B98" s="470" t="s">
        <v>1716</v>
      </c>
      <c r="C98" s="471" t="s">
        <v>788</v>
      </c>
      <c r="D98" s="470" t="s">
        <v>1717</v>
      </c>
      <c r="E98" s="290" t="s">
        <v>1406</v>
      </c>
      <c r="F98" s="290" t="s">
        <v>1537</v>
      </c>
      <c r="G98" s="200">
        <v>1</v>
      </c>
      <c r="H98" s="108" t="s">
        <v>655</v>
      </c>
      <c r="I98" s="475"/>
      <c r="J98" s="475"/>
      <c r="K98" s="497">
        <v>0.11</v>
      </c>
      <c r="L98" s="477">
        <v>0</v>
      </c>
      <c r="M98" s="475">
        <v>0</v>
      </c>
      <c r="N98" s="498">
        <v>0</v>
      </c>
      <c r="O98" s="144">
        <v>0</v>
      </c>
      <c r="P98" s="309"/>
      <c r="Q98" s="168"/>
      <c r="AA98" s="168"/>
    </row>
    <row r="99" ht="15.75" customHeight="1" outlineLevel="2" spans="2:27">
      <c r="B99" s="470" t="s">
        <v>1718</v>
      </c>
      <c r="C99" s="471" t="s">
        <v>791</v>
      </c>
      <c r="D99" s="470" t="s">
        <v>1979</v>
      </c>
      <c r="E99" s="290" t="s">
        <v>1980</v>
      </c>
      <c r="F99" s="290" t="s">
        <v>1537</v>
      </c>
      <c r="G99" s="200">
        <v>1</v>
      </c>
      <c r="H99" s="108" t="s">
        <v>655</v>
      </c>
      <c r="I99" s="475"/>
      <c r="J99" s="475"/>
      <c r="K99" s="497">
        <v>0.11</v>
      </c>
      <c r="L99" s="477">
        <v>0</v>
      </c>
      <c r="M99" s="475">
        <v>0</v>
      </c>
      <c r="N99" s="498">
        <v>0</v>
      </c>
      <c r="O99" s="144">
        <v>0</v>
      </c>
      <c r="P99" s="309"/>
      <c r="Q99" s="168"/>
      <c r="AA99" s="168"/>
    </row>
    <row r="100" ht="15.75" customHeight="1" outlineLevel="2" spans="2:27">
      <c r="B100" s="470" t="s">
        <v>1720</v>
      </c>
      <c r="C100" s="471" t="s">
        <v>797</v>
      </c>
      <c r="D100" s="470" t="s">
        <v>1721</v>
      </c>
      <c r="E100" s="290" t="s">
        <v>1371</v>
      </c>
      <c r="F100" s="290" t="s">
        <v>1537</v>
      </c>
      <c r="G100" s="200">
        <v>1</v>
      </c>
      <c r="H100" s="108" t="s">
        <v>655</v>
      </c>
      <c r="I100" s="475"/>
      <c r="J100" s="475"/>
      <c r="K100" s="497">
        <v>0.17</v>
      </c>
      <c r="L100" s="477">
        <v>0</v>
      </c>
      <c r="M100" s="475">
        <v>0</v>
      </c>
      <c r="N100" s="498">
        <v>0</v>
      </c>
      <c r="O100" s="144">
        <v>0</v>
      </c>
      <c r="P100" s="309"/>
      <c r="Q100" s="168"/>
      <c r="AA100" s="168"/>
    </row>
    <row r="101" ht="15.75" customHeight="1" outlineLevel="2" spans="2:27">
      <c r="B101" s="470" t="s">
        <v>1722</v>
      </c>
      <c r="C101" s="471" t="s">
        <v>1519</v>
      </c>
      <c r="D101" s="470" t="s">
        <v>1723</v>
      </c>
      <c r="E101" s="290" t="s">
        <v>1372</v>
      </c>
      <c r="F101" s="290" t="s">
        <v>1537</v>
      </c>
      <c r="G101" s="200">
        <v>1</v>
      </c>
      <c r="H101" s="108" t="s">
        <v>655</v>
      </c>
      <c r="I101" s="475"/>
      <c r="J101" s="475"/>
      <c r="K101" s="497">
        <v>0.17</v>
      </c>
      <c r="L101" s="477">
        <v>0</v>
      </c>
      <c r="M101" s="475">
        <v>0</v>
      </c>
      <c r="N101" s="498">
        <v>0</v>
      </c>
      <c r="O101" s="144">
        <v>0</v>
      </c>
      <c r="P101" s="309"/>
      <c r="Q101" s="168"/>
      <c r="AA101" s="168"/>
    </row>
    <row r="102" ht="15.75" customHeight="1" outlineLevel="2" spans="2:27">
      <c r="B102" s="470" t="s">
        <v>1724</v>
      </c>
      <c r="C102" s="471" t="s">
        <v>1520</v>
      </c>
      <c r="D102" s="470" t="s">
        <v>1725</v>
      </c>
      <c r="E102" s="290" t="s">
        <v>1373</v>
      </c>
      <c r="F102" s="290" t="s">
        <v>1537</v>
      </c>
      <c r="G102" s="200">
        <v>1</v>
      </c>
      <c r="H102" s="108" t="s">
        <v>655</v>
      </c>
      <c r="I102" s="475"/>
      <c r="J102" s="475"/>
      <c r="K102" s="497">
        <v>0.17</v>
      </c>
      <c r="L102" s="477">
        <v>0</v>
      </c>
      <c r="M102" s="475">
        <v>0</v>
      </c>
      <c r="N102" s="498">
        <v>0</v>
      </c>
      <c r="O102" s="144">
        <v>0</v>
      </c>
      <c r="P102" s="309"/>
      <c r="Q102" s="168"/>
      <c r="AA102" s="168"/>
    </row>
    <row r="103" ht="15.75" customHeight="1" outlineLevel="2" spans="2:27">
      <c r="B103" s="470" t="s">
        <v>1726</v>
      </c>
      <c r="C103" s="471" t="s">
        <v>1727</v>
      </c>
      <c r="D103" s="470" t="s">
        <v>1728</v>
      </c>
      <c r="E103" s="290" t="s">
        <v>1374</v>
      </c>
      <c r="F103" s="290" t="s">
        <v>1537</v>
      </c>
      <c r="G103" s="200">
        <v>1</v>
      </c>
      <c r="H103" s="108" t="s">
        <v>655</v>
      </c>
      <c r="I103" s="475"/>
      <c r="J103" s="475"/>
      <c r="K103" s="497">
        <v>0.17</v>
      </c>
      <c r="L103" s="477">
        <v>0</v>
      </c>
      <c r="M103" s="475">
        <v>0</v>
      </c>
      <c r="N103" s="498">
        <v>0</v>
      </c>
      <c r="O103" s="144">
        <v>0</v>
      </c>
      <c r="P103" s="309"/>
      <c r="Q103" s="168"/>
      <c r="AA103" s="168"/>
    </row>
    <row r="104" ht="15.75" customHeight="1" outlineLevel="2" spans="2:27">
      <c r="B104" s="470" t="s">
        <v>1729</v>
      </c>
      <c r="C104" s="471" t="s">
        <v>1730</v>
      </c>
      <c r="D104" s="470" t="s">
        <v>1731</v>
      </c>
      <c r="E104" s="290" t="s">
        <v>1375</v>
      </c>
      <c r="F104" s="290" t="s">
        <v>1537</v>
      </c>
      <c r="G104" s="200">
        <v>1</v>
      </c>
      <c r="H104" s="108" t="s">
        <v>655</v>
      </c>
      <c r="I104" s="475"/>
      <c r="J104" s="475"/>
      <c r="K104" s="497">
        <v>0.17</v>
      </c>
      <c r="L104" s="477">
        <v>0</v>
      </c>
      <c r="M104" s="475">
        <v>0</v>
      </c>
      <c r="N104" s="498">
        <v>0</v>
      </c>
      <c r="O104" s="144">
        <v>0</v>
      </c>
      <c r="P104" s="309"/>
      <c r="Q104" s="168"/>
      <c r="AA104" s="168"/>
    </row>
    <row r="105" s="456" customFormat="1" ht="15.75" customHeight="1" outlineLevel="2" spans="2:16">
      <c r="B105" s="470" t="s">
        <v>1732</v>
      </c>
      <c r="C105" s="471" t="s">
        <v>1733</v>
      </c>
      <c r="D105" s="470" t="s">
        <v>1734</v>
      </c>
      <c r="E105" s="290" t="s">
        <v>1376</v>
      </c>
      <c r="F105" s="290" t="s">
        <v>1537</v>
      </c>
      <c r="G105" s="200">
        <v>1</v>
      </c>
      <c r="H105" s="108" t="s">
        <v>655</v>
      </c>
      <c r="I105" s="475"/>
      <c r="J105" s="475"/>
      <c r="K105" s="497">
        <v>0.17</v>
      </c>
      <c r="L105" s="477">
        <v>0</v>
      </c>
      <c r="M105" s="475">
        <v>0</v>
      </c>
      <c r="N105" s="498">
        <v>0</v>
      </c>
      <c r="O105" s="144">
        <v>0</v>
      </c>
      <c r="P105" s="309"/>
    </row>
    <row r="106" ht="15.75" customHeight="1" outlineLevel="2" spans="2:27">
      <c r="B106" s="470" t="s">
        <v>1735</v>
      </c>
      <c r="C106" s="471" t="s">
        <v>1736</v>
      </c>
      <c r="D106" s="470" t="s">
        <v>1737</v>
      </c>
      <c r="E106" s="290" t="s">
        <v>1376</v>
      </c>
      <c r="F106" s="290" t="s">
        <v>1537</v>
      </c>
      <c r="G106" s="200">
        <v>1</v>
      </c>
      <c r="H106" s="108" t="s">
        <v>655</v>
      </c>
      <c r="I106" s="475"/>
      <c r="J106" s="475"/>
      <c r="K106" s="497">
        <v>0.17</v>
      </c>
      <c r="L106" s="477">
        <v>0</v>
      </c>
      <c r="M106" s="475">
        <v>0</v>
      </c>
      <c r="N106" s="498">
        <v>0</v>
      </c>
      <c r="O106" s="144">
        <v>0</v>
      </c>
      <c r="P106" s="309"/>
      <c r="Q106" s="168"/>
      <c r="AA106" s="168"/>
    </row>
    <row r="107" ht="15.75" customHeight="1" outlineLevel="2" spans="2:27">
      <c r="B107" s="470" t="s">
        <v>1981</v>
      </c>
      <c r="C107" s="471" t="s">
        <v>1982</v>
      </c>
      <c r="D107" s="470" t="s">
        <v>1983</v>
      </c>
      <c r="E107" s="470" t="s">
        <v>1984</v>
      </c>
      <c r="F107" s="290" t="s">
        <v>1537</v>
      </c>
      <c r="G107" s="200">
        <v>1</v>
      </c>
      <c r="H107" s="108" t="s">
        <v>655</v>
      </c>
      <c r="I107" s="475"/>
      <c r="J107" s="475"/>
      <c r="K107" s="497">
        <v>0.17</v>
      </c>
      <c r="L107" s="477">
        <v>0</v>
      </c>
      <c r="M107" s="475">
        <v>0</v>
      </c>
      <c r="N107" s="498">
        <v>0</v>
      </c>
      <c r="O107" s="144">
        <v>0</v>
      </c>
      <c r="P107" s="309"/>
      <c r="Q107" s="168"/>
      <c r="AA107" s="168"/>
    </row>
    <row r="108" ht="15.75" customHeight="1" outlineLevel="2" spans="2:27">
      <c r="B108" s="470" t="s">
        <v>1985</v>
      </c>
      <c r="C108" s="471" t="s">
        <v>1986</v>
      </c>
      <c r="D108" s="470" t="s">
        <v>1987</v>
      </c>
      <c r="E108" s="470" t="s">
        <v>1988</v>
      </c>
      <c r="F108" s="290" t="s">
        <v>1537</v>
      </c>
      <c r="G108" s="200">
        <v>1</v>
      </c>
      <c r="H108" s="108" t="s">
        <v>655</v>
      </c>
      <c r="I108" s="475"/>
      <c r="J108" s="475"/>
      <c r="K108" s="497">
        <v>0.11</v>
      </c>
      <c r="L108" s="477">
        <v>0</v>
      </c>
      <c r="M108" s="475">
        <v>0</v>
      </c>
      <c r="N108" s="498">
        <v>0</v>
      </c>
      <c r="O108" s="144">
        <v>0</v>
      </c>
      <c r="P108" s="309"/>
      <c r="Q108" s="168"/>
      <c r="AA108" s="168"/>
    </row>
    <row r="109" ht="15.75" customHeight="1" outlineLevel="1" spans="2:27">
      <c r="B109" s="505" t="s">
        <v>1738</v>
      </c>
      <c r="C109" s="506">
        <v>2</v>
      </c>
      <c r="D109" s="505" t="s">
        <v>1739</v>
      </c>
      <c r="E109" s="193"/>
      <c r="F109" s="193"/>
      <c r="G109" s="193"/>
      <c r="H109" s="155"/>
      <c r="I109" s="492"/>
      <c r="J109" s="492"/>
      <c r="K109" s="492"/>
      <c r="L109" s="494">
        <v>0</v>
      </c>
      <c r="M109" s="494">
        <v>0</v>
      </c>
      <c r="N109" s="494">
        <v>0</v>
      </c>
      <c r="O109" s="545">
        <v>0</v>
      </c>
      <c r="P109" s="233"/>
      <c r="Q109" s="168"/>
      <c r="AA109" s="168"/>
    </row>
    <row r="110" ht="15.75" customHeight="1" outlineLevel="2" spans="2:27">
      <c r="B110" s="470" t="s">
        <v>1740</v>
      </c>
      <c r="C110" s="471" t="s">
        <v>619</v>
      </c>
      <c r="D110" s="507" t="s">
        <v>1741</v>
      </c>
      <c r="E110" s="290" t="s">
        <v>1377</v>
      </c>
      <c r="F110" s="290" t="s">
        <v>1537</v>
      </c>
      <c r="G110" s="200">
        <v>1</v>
      </c>
      <c r="H110" s="108" t="s">
        <v>655</v>
      </c>
      <c r="I110" s="475"/>
      <c r="J110" s="475"/>
      <c r="K110" s="517">
        <v>0.17</v>
      </c>
      <c r="L110" s="477">
        <v>0</v>
      </c>
      <c r="M110" s="475">
        <v>0</v>
      </c>
      <c r="N110" s="498">
        <v>0</v>
      </c>
      <c r="O110" s="144">
        <v>0</v>
      </c>
      <c r="P110" s="309"/>
      <c r="Q110" s="168"/>
      <c r="AA110" s="168"/>
    </row>
    <row r="111" ht="15.75" customHeight="1" outlineLevel="2" spans="2:27">
      <c r="B111" s="470" t="s">
        <v>1742</v>
      </c>
      <c r="C111" s="471" t="s">
        <v>657</v>
      </c>
      <c r="D111" s="507" t="s">
        <v>1743</v>
      </c>
      <c r="E111" s="290" t="s">
        <v>1377</v>
      </c>
      <c r="F111" s="290" t="s">
        <v>1537</v>
      </c>
      <c r="G111" s="200">
        <v>1</v>
      </c>
      <c r="H111" s="108" t="s">
        <v>655</v>
      </c>
      <c r="I111" s="475"/>
      <c r="J111" s="475"/>
      <c r="K111" s="517">
        <v>0.17</v>
      </c>
      <c r="L111" s="477">
        <v>0</v>
      </c>
      <c r="M111" s="475">
        <v>0</v>
      </c>
      <c r="N111" s="498">
        <v>0</v>
      </c>
      <c r="O111" s="144">
        <v>0</v>
      </c>
      <c r="P111" s="309"/>
      <c r="Q111" s="168"/>
      <c r="AA111" s="168"/>
    </row>
    <row r="112" ht="15.75" customHeight="1" outlineLevel="2" spans="2:27">
      <c r="B112" s="470" t="s">
        <v>1744</v>
      </c>
      <c r="C112" s="471" t="s">
        <v>762</v>
      </c>
      <c r="D112" s="507" t="s">
        <v>1745</v>
      </c>
      <c r="E112" s="290" t="s">
        <v>1377</v>
      </c>
      <c r="F112" s="290" t="s">
        <v>1537</v>
      </c>
      <c r="G112" s="200">
        <v>1</v>
      </c>
      <c r="H112" s="108" t="s">
        <v>655</v>
      </c>
      <c r="I112" s="475"/>
      <c r="J112" s="475"/>
      <c r="K112" s="517">
        <v>0.17</v>
      </c>
      <c r="L112" s="477">
        <v>0</v>
      </c>
      <c r="M112" s="475">
        <v>0</v>
      </c>
      <c r="N112" s="498">
        <v>0</v>
      </c>
      <c r="O112" s="144">
        <v>0</v>
      </c>
      <c r="P112" s="309"/>
      <c r="Q112" s="168"/>
      <c r="AA112" s="168"/>
    </row>
    <row r="113" ht="15.75" customHeight="1" outlineLevel="1" collapsed="1" spans="2:27">
      <c r="B113" s="505" t="s">
        <v>1746</v>
      </c>
      <c r="C113" s="506">
        <v>3</v>
      </c>
      <c r="D113" s="505" t="s">
        <v>1747</v>
      </c>
      <c r="E113" s="193"/>
      <c r="F113" s="193"/>
      <c r="G113" s="193"/>
      <c r="H113" s="155"/>
      <c r="I113" s="492"/>
      <c r="J113" s="492"/>
      <c r="K113" s="492"/>
      <c r="L113" s="494">
        <v>0</v>
      </c>
      <c r="M113" s="494">
        <v>0</v>
      </c>
      <c r="N113" s="494">
        <v>0</v>
      </c>
      <c r="O113" s="545">
        <v>0</v>
      </c>
      <c r="P113" s="233"/>
      <c r="Q113" s="168"/>
      <c r="AA113" s="168"/>
    </row>
    <row r="114" s="456" customFormat="1" ht="15.75" customHeight="1" outlineLevel="1" spans="2:16">
      <c r="B114" s="508" t="s">
        <v>1748</v>
      </c>
      <c r="C114" s="471" t="s">
        <v>619</v>
      </c>
      <c r="D114" s="470" t="s">
        <v>1747</v>
      </c>
      <c r="E114" s="470" t="s">
        <v>1988</v>
      </c>
      <c r="F114" s="366"/>
      <c r="G114" s="366"/>
      <c r="H114" s="313"/>
      <c r="I114" s="518"/>
      <c r="K114" s="517">
        <v>0.11</v>
      </c>
      <c r="L114" s="477">
        <v>0</v>
      </c>
      <c r="M114" s="475">
        <v>0</v>
      </c>
      <c r="N114" s="498">
        <v>0</v>
      </c>
      <c r="O114" s="144">
        <v>0</v>
      </c>
      <c r="P114" s="309"/>
    </row>
    <row r="115" s="456" customFormat="1" ht="15.75" customHeight="1" outlineLevel="1" spans="2:16">
      <c r="B115" s="508" t="s">
        <v>1749</v>
      </c>
      <c r="C115" s="471" t="s">
        <v>657</v>
      </c>
      <c r="D115" s="470" t="s">
        <v>1125</v>
      </c>
      <c r="E115" s="471" t="s">
        <v>1125</v>
      </c>
      <c r="F115" s="366"/>
      <c r="G115" s="366"/>
      <c r="H115" s="313"/>
      <c r="I115" s="518"/>
      <c r="J115" s="519"/>
      <c r="K115" s="518"/>
      <c r="L115" s="477">
        <v>0</v>
      </c>
      <c r="M115" s="475">
        <v>0</v>
      </c>
      <c r="N115" s="498">
        <v>0</v>
      </c>
      <c r="O115" s="144">
        <v>0</v>
      </c>
      <c r="P115" s="309"/>
    </row>
    <row r="116" ht="15.75" customHeight="1" outlineLevel="1" spans="2:27">
      <c r="B116" s="505" t="s">
        <v>1750</v>
      </c>
      <c r="C116" s="506">
        <v>4</v>
      </c>
      <c r="D116" s="505" t="s">
        <v>1751</v>
      </c>
      <c r="E116" s="193"/>
      <c r="F116" s="193"/>
      <c r="G116" s="193"/>
      <c r="H116" s="155"/>
      <c r="I116" s="492"/>
      <c r="J116" s="492"/>
      <c r="K116" s="492"/>
      <c r="L116" s="155"/>
      <c r="M116" s="155"/>
      <c r="N116" s="494"/>
      <c r="O116" s="545">
        <v>0</v>
      </c>
      <c r="P116" s="233"/>
      <c r="Q116" s="168"/>
      <c r="AA116" s="168"/>
    </row>
    <row r="117" ht="15.75" customHeight="1" spans="2:27">
      <c r="B117" s="468" t="s">
        <v>1752</v>
      </c>
      <c r="C117" s="469" t="s">
        <v>548</v>
      </c>
      <c r="D117" s="468" t="s">
        <v>483</v>
      </c>
      <c r="E117" s="192"/>
      <c r="F117" s="192"/>
      <c r="G117" s="192"/>
      <c r="H117" s="192"/>
      <c r="I117" s="488"/>
      <c r="J117" s="192"/>
      <c r="K117" s="546"/>
      <c r="L117" s="206">
        <v>396.423838650486</v>
      </c>
      <c r="M117" s="206">
        <v>43.6066222515535</v>
      </c>
      <c r="N117" s="206">
        <v>440.030460902039</v>
      </c>
      <c r="O117" s="491">
        <v>127.16</v>
      </c>
      <c r="P117" s="230"/>
      <c r="Q117" s="168"/>
      <c r="AA117" s="168"/>
    </row>
    <row r="118" ht="15.75" customHeight="1" outlineLevel="1" spans="2:27">
      <c r="B118" s="505" t="s">
        <v>549</v>
      </c>
      <c r="C118" s="506">
        <v>1</v>
      </c>
      <c r="D118" s="505" t="s">
        <v>550</v>
      </c>
      <c r="E118" s="193"/>
      <c r="F118" s="193"/>
      <c r="G118" s="193"/>
      <c r="H118" s="155"/>
      <c r="I118" s="492"/>
      <c r="J118" s="155"/>
      <c r="K118" s="521"/>
      <c r="L118" s="155">
        <v>366.807398990376</v>
      </c>
      <c r="M118" s="155">
        <v>40.3488138889413</v>
      </c>
      <c r="N118" s="155">
        <v>407.156212879317</v>
      </c>
      <c r="O118" s="545">
        <v>175.990914606836</v>
      </c>
      <c r="P118" s="233"/>
      <c r="Q118" s="168"/>
      <c r="AA118" s="168"/>
    </row>
    <row r="119" ht="15.75" customHeight="1" outlineLevel="2" spans="2:27">
      <c r="B119" s="470" t="s">
        <v>1753</v>
      </c>
      <c r="C119" s="471" t="s">
        <v>619</v>
      </c>
      <c r="D119" s="507" t="s">
        <v>1754</v>
      </c>
      <c r="E119" s="290"/>
      <c r="F119" s="290"/>
      <c r="G119" s="292"/>
      <c r="H119" s="292"/>
      <c r="I119" s="475"/>
      <c r="J119" s="301"/>
      <c r="K119" s="517"/>
      <c r="L119" s="301">
        <v>173.022358014328</v>
      </c>
      <c r="M119" s="301">
        <v>19.0324593815761</v>
      </c>
      <c r="N119" s="301">
        <v>192.054817395904</v>
      </c>
      <c r="O119" s="144">
        <v>83.014582361715</v>
      </c>
      <c r="P119" s="309"/>
      <c r="Q119" s="168"/>
      <c r="AA119" s="168"/>
    </row>
    <row r="120" ht="15.75" customHeight="1" outlineLevel="3" spans="2:27">
      <c r="B120" s="470" t="s">
        <v>1755</v>
      </c>
      <c r="C120" s="473" t="s">
        <v>622</v>
      </c>
      <c r="D120" s="507" t="s">
        <v>1756</v>
      </c>
      <c r="E120" s="290" t="s">
        <v>1380</v>
      </c>
      <c r="F120" s="479"/>
      <c r="G120" s="512"/>
      <c r="H120" s="477"/>
      <c r="I120" s="478"/>
      <c r="J120" s="477"/>
      <c r="K120" s="522">
        <v>0.17</v>
      </c>
      <c r="L120" s="477">
        <v>0</v>
      </c>
      <c r="M120" s="477">
        <v>0</v>
      </c>
      <c r="N120" s="498">
        <v>0</v>
      </c>
      <c r="O120" s="547">
        <v>0</v>
      </c>
      <c r="P120" s="523"/>
      <c r="Q120" s="168"/>
      <c r="AA120" s="168"/>
    </row>
    <row r="121" ht="15.75" customHeight="1" outlineLevel="3" spans="2:27">
      <c r="B121" s="470" t="s">
        <v>1761</v>
      </c>
      <c r="C121" s="473" t="s">
        <v>622</v>
      </c>
      <c r="D121" s="507" t="s">
        <v>1762</v>
      </c>
      <c r="E121" s="479" t="s">
        <v>1381</v>
      </c>
      <c r="F121" s="479"/>
      <c r="G121" s="512"/>
      <c r="H121" s="477"/>
      <c r="I121" s="478"/>
      <c r="J121" s="477"/>
      <c r="K121" s="522">
        <v>0.11</v>
      </c>
      <c r="L121" s="477">
        <v>0</v>
      </c>
      <c r="M121" s="477">
        <v>0</v>
      </c>
      <c r="N121" s="498">
        <v>0</v>
      </c>
      <c r="O121" s="547">
        <v>0</v>
      </c>
      <c r="P121" s="523"/>
      <c r="Q121" s="168"/>
      <c r="AA121" s="168"/>
    </row>
    <row r="122" ht="15.75" customHeight="1" outlineLevel="3" spans="2:27">
      <c r="B122" s="470" t="s">
        <v>1767</v>
      </c>
      <c r="C122" s="473" t="s">
        <v>622</v>
      </c>
      <c r="D122" s="507" t="s">
        <v>1768</v>
      </c>
      <c r="E122" s="479" t="s">
        <v>1382</v>
      </c>
      <c r="F122" s="479"/>
      <c r="G122" s="511"/>
      <c r="H122" s="477"/>
      <c r="I122" s="478"/>
      <c r="J122" s="477"/>
      <c r="K122" s="522">
        <v>0.11</v>
      </c>
      <c r="L122" s="477">
        <v>0</v>
      </c>
      <c r="M122" s="477">
        <v>0</v>
      </c>
      <c r="N122" s="498">
        <v>0</v>
      </c>
      <c r="O122" s="547">
        <v>0</v>
      </c>
      <c r="P122" s="523"/>
      <c r="Q122" s="168"/>
      <c r="AA122" s="168"/>
    </row>
    <row r="123" ht="15.75" customHeight="1" outlineLevel="3" spans="2:27">
      <c r="B123" s="470" t="s">
        <v>1769</v>
      </c>
      <c r="C123" s="473" t="s">
        <v>622</v>
      </c>
      <c r="D123" s="507" t="s">
        <v>1770</v>
      </c>
      <c r="E123" s="479" t="s">
        <v>1383</v>
      </c>
      <c r="F123" s="479"/>
      <c r="G123" s="511"/>
      <c r="H123" s="477"/>
      <c r="I123" s="478"/>
      <c r="J123" s="477"/>
      <c r="K123" s="522">
        <v>0.11</v>
      </c>
      <c r="L123" s="477">
        <v>0</v>
      </c>
      <c r="M123" s="477">
        <v>0</v>
      </c>
      <c r="N123" s="498">
        <v>0</v>
      </c>
      <c r="O123" s="547">
        <v>0</v>
      </c>
      <c r="P123" s="523"/>
      <c r="Q123" s="168"/>
      <c r="AA123" s="168"/>
    </row>
    <row r="124" ht="15.75" customHeight="1" outlineLevel="3" spans="2:27">
      <c r="B124" s="470" t="s">
        <v>1771</v>
      </c>
      <c r="C124" s="473" t="s">
        <v>622</v>
      </c>
      <c r="D124" s="507" t="s">
        <v>1772</v>
      </c>
      <c r="E124" s="479" t="s">
        <v>1384</v>
      </c>
      <c r="F124" s="479"/>
      <c r="G124" s="511"/>
      <c r="H124" s="477"/>
      <c r="I124" s="475"/>
      <c r="J124" s="477"/>
      <c r="K124" s="522">
        <v>0.11</v>
      </c>
      <c r="L124" s="477">
        <v>0</v>
      </c>
      <c r="M124" s="477">
        <v>0</v>
      </c>
      <c r="N124" s="498">
        <v>0</v>
      </c>
      <c r="O124" s="547">
        <v>0</v>
      </c>
      <c r="P124" s="523"/>
      <c r="Q124" s="168"/>
      <c r="AA124" s="168"/>
    </row>
    <row r="125" ht="15.75" customHeight="1" outlineLevel="3" spans="2:27">
      <c r="B125" s="470" t="s">
        <v>1773</v>
      </c>
      <c r="C125" s="473" t="s">
        <v>622</v>
      </c>
      <c r="D125" s="507" t="s">
        <v>1774</v>
      </c>
      <c r="E125" s="479" t="s">
        <v>1385</v>
      </c>
      <c r="F125" s="479"/>
      <c r="G125" s="512"/>
      <c r="H125" s="477"/>
      <c r="I125" s="478"/>
      <c r="J125" s="477"/>
      <c r="K125" s="522">
        <v>0.17</v>
      </c>
      <c r="L125" s="477">
        <v>0</v>
      </c>
      <c r="M125" s="477">
        <v>0</v>
      </c>
      <c r="N125" s="498">
        <v>0</v>
      </c>
      <c r="O125" s="547">
        <v>0</v>
      </c>
      <c r="P125" s="523"/>
      <c r="Q125" s="168"/>
      <c r="AA125" s="168"/>
    </row>
    <row r="126" ht="15.75" customHeight="1" outlineLevel="3" spans="2:27">
      <c r="B126" s="470" t="s">
        <v>1775</v>
      </c>
      <c r="C126" s="473" t="s">
        <v>622</v>
      </c>
      <c r="D126" s="507" t="s">
        <v>1776</v>
      </c>
      <c r="E126" s="479" t="s">
        <v>774</v>
      </c>
      <c r="F126" s="479"/>
      <c r="G126" s="511"/>
      <c r="H126" s="477"/>
      <c r="I126" s="475"/>
      <c r="J126" s="477"/>
      <c r="K126" s="522">
        <v>0.11</v>
      </c>
      <c r="L126" s="477">
        <v>0</v>
      </c>
      <c r="M126" s="477">
        <v>0</v>
      </c>
      <c r="N126" s="498">
        <v>0</v>
      </c>
      <c r="O126" s="547">
        <v>0</v>
      </c>
      <c r="P126" s="523"/>
      <c r="Q126" s="168"/>
      <c r="AA126" s="168"/>
    </row>
    <row r="127" ht="15.75" customHeight="1" outlineLevel="3" spans="2:27">
      <c r="B127" s="470" t="s">
        <v>1777</v>
      </c>
      <c r="C127" s="473" t="s">
        <v>622</v>
      </c>
      <c r="D127" s="507" t="s">
        <v>1778</v>
      </c>
      <c r="E127" s="479" t="s">
        <v>1387</v>
      </c>
      <c r="F127" s="479"/>
      <c r="G127" s="511"/>
      <c r="H127" s="292"/>
      <c r="I127" s="475"/>
      <c r="J127" s="292"/>
      <c r="K127" s="517">
        <v>0.11</v>
      </c>
      <c r="L127" s="477">
        <v>0</v>
      </c>
      <c r="M127" s="292">
        <v>0</v>
      </c>
      <c r="N127" s="498">
        <v>0</v>
      </c>
      <c r="O127" s="144">
        <v>0</v>
      </c>
      <c r="P127" s="309"/>
      <c r="Q127" s="168"/>
      <c r="AA127" s="168"/>
    </row>
    <row r="128" ht="15.75" customHeight="1" outlineLevel="3" spans="2:27">
      <c r="B128" s="470" t="s">
        <v>1780</v>
      </c>
      <c r="C128" s="473" t="s">
        <v>622</v>
      </c>
      <c r="D128" s="507" t="s">
        <v>1781</v>
      </c>
      <c r="E128" s="65" t="s">
        <v>1388</v>
      </c>
      <c r="F128" s="65"/>
      <c r="G128" s="510"/>
      <c r="H128" s="524"/>
      <c r="I128" s="475"/>
      <c r="J128" s="524"/>
      <c r="K128" s="548">
        <v>0.11</v>
      </c>
      <c r="L128" s="477">
        <v>0</v>
      </c>
      <c r="M128" s="524">
        <v>0</v>
      </c>
      <c r="N128" s="498">
        <v>0</v>
      </c>
      <c r="O128" s="144">
        <v>0</v>
      </c>
      <c r="P128" s="309"/>
      <c r="Q128" s="168"/>
      <c r="AA128" s="168"/>
    </row>
    <row r="129" ht="15.75" customHeight="1" outlineLevel="3" spans="2:27">
      <c r="B129" s="470" t="s">
        <v>1783</v>
      </c>
      <c r="C129" s="473" t="s">
        <v>622</v>
      </c>
      <c r="D129" s="507" t="s">
        <v>1989</v>
      </c>
      <c r="E129" s="95" t="s">
        <v>774</v>
      </c>
      <c r="F129" s="65"/>
      <c r="G129" s="510">
        <v>1</v>
      </c>
      <c r="H129" s="524" t="s">
        <v>655</v>
      </c>
      <c r="I129" s="475">
        <v>34604.4716028656</v>
      </c>
      <c r="J129" s="524">
        <v>50</v>
      </c>
      <c r="K129" s="548">
        <v>0.11</v>
      </c>
      <c r="L129" s="477">
        <v>173.022358014328</v>
      </c>
      <c r="M129" s="524">
        <v>19.0324593815761</v>
      </c>
      <c r="N129" s="498">
        <v>192.054817395904</v>
      </c>
      <c r="O129" s="144">
        <v>83.014582361715</v>
      </c>
      <c r="P129" s="309"/>
      <c r="Q129" s="168"/>
      <c r="AA129" s="168"/>
    </row>
    <row r="130" ht="15.75" customHeight="1" outlineLevel="2" spans="2:27">
      <c r="B130" s="470" t="s">
        <v>1788</v>
      </c>
      <c r="C130" s="471" t="s">
        <v>657</v>
      </c>
      <c r="D130" s="507" t="s">
        <v>1789</v>
      </c>
      <c r="E130" s="290"/>
      <c r="F130" s="290"/>
      <c r="G130" s="292"/>
      <c r="H130" s="292"/>
      <c r="I130" s="475"/>
      <c r="J130" s="301"/>
      <c r="K130" s="517"/>
      <c r="L130" s="301">
        <v>0</v>
      </c>
      <c r="M130" s="301">
        <v>0</v>
      </c>
      <c r="N130" s="498">
        <v>0</v>
      </c>
      <c r="O130" s="144">
        <v>0</v>
      </c>
      <c r="P130" s="309"/>
      <c r="Q130" s="168"/>
      <c r="AA130" s="168"/>
    </row>
    <row r="131" ht="15.75" customHeight="1" outlineLevel="3" spans="2:27">
      <c r="B131" s="470" t="s">
        <v>1790</v>
      </c>
      <c r="C131" s="473" t="s">
        <v>622</v>
      </c>
      <c r="D131" s="507" t="s">
        <v>1791</v>
      </c>
      <c r="E131" s="479" t="s">
        <v>1387</v>
      </c>
      <c r="F131" s="65"/>
      <c r="G131" s="502"/>
      <c r="H131" s="524"/>
      <c r="I131" s="475"/>
      <c r="J131" s="524"/>
      <c r="K131" s="548">
        <v>0.11</v>
      </c>
      <c r="L131" s="477">
        <v>0</v>
      </c>
      <c r="M131" s="524">
        <v>0</v>
      </c>
      <c r="N131" s="498">
        <v>0</v>
      </c>
      <c r="O131" s="144">
        <v>0</v>
      </c>
      <c r="P131" s="309"/>
      <c r="Q131" s="168"/>
      <c r="AA131" s="168"/>
    </row>
    <row r="132" ht="15.75" customHeight="1" outlineLevel="3" spans="2:27">
      <c r="B132" s="470" t="s">
        <v>1794</v>
      </c>
      <c r="C132" s="473" t="s">
        <v>622</v>
      </c>
      <c r="D132" s="507" t="s">
        <v>1795</v>
      </c>
      <c r="E132" s="479" t="s">
        <v>1387</v>
      </c>
      <c r="F132" s="479"/>
      <c r="G132" s="525"/>
      <c r="H132" s="292"/>
      <c r="I132" s="475"/>
      <c r="J132" s="292"/>
      <c r="K132" s="517">
        <v>0.11</v>
      </c>
      <c r="L132" s="477">
        <v>0</v>
      </c>
      <c r="M132" s="292">
        <v>0</v>
      </c>
      <c r="N132" s="498">
        <v>0</v>
      </c>
      <c r="O132" s="144">
        <v>0</v>
      </c>
      <c r="P132" s="309"/>
      <c r="Q132" s="168"/>
      <c r="AA132" s="168"/>
    </row>
    <row r="133" ht="15.75" customHeight="1" outlineLevel="3" spans="2:27">
      <c r="B133" s="470" t="s">
        <v>1796</v>
      </c>
      <c r="C133" s="473" t="s">
        <v>622</v>
      </c>
      <c r="D133" s="507" t="s">
        <v>1797</v>
      </c>
      <c r="E133" s="479" t="s">
        <v>1387</v>
      </c>
      <c r="F133" s="479"/>
      <c r="G133" s="511"/>
      <c r="H133" s="292"/>
      <c r="I133" s="475"/>
      <c r="J133" s="292"/>
      <c r="K133" s="517">
        <v>0.11</v>
      </c>
      <c r="L133" s="477">
        <v>0</v>
      </c>
      <c r="M133" s="292">
        <v>0</v>
      </c>
      <c r="N133" s="498">
        <v>0</v>
      </c>
      <c r="O133" s="144">
        <v>0</v>
      </c>
      <c r="P133" s="309"/>
      <c r="Q133" s="168"/>
      <c r="AA133" s="168"/>
    </row>
    <row r="134" ht="15.75" customHeight="1" outlineLevel="3" spans="2:27">
      <c r="B134" s="470" t="s">
        <v>1798</v>
      </c>
      <c r="C134" s="473" t="s">
        <v>622</v>
      </c>
      <c r="D134" s="507" t="s">
        <v>1799</v>
      </c>
      <c r="E134" s="65" t="s">
        <v>1386</v>
      </c>
      <c r="F134" s="65"/>
      <c r="G134" s="510"/>
      <c r="H134" s="524"/>
      <c r="I134" s="475"/>
      <c r="J134" s="524"/>
      <c r="K134" s="548">
        <v>0.11</v>
      </c>
      <c r="L134" s="477">
        <v>0</v>
      </c>
      <c r="M134" s="524">
        <v>0</v>
      </c>
      <c r="N134" s="498">
        <v>0</v>
      </c>
      <c r="O134" s="144">
        <v>0</v>
      </c>
      <c r="P134" s="309"/>
      <c r="Q134" s="168"/>
      <c r="AA134" s="168"/>
    </row>
    <row r="135" ht="15.75" customHeight="1" outlineLevel="3" spans="2:27">
      <c r="B135" s="470" t="s">
        <v>1800</v>
      </c>
      <c r="C135" s="473" t="s">
        <v>622</v>
      </c>
      <c r="D135" s="507" t="s">
        <v>1801</v>
      </c>
      <c r="E135" s="479" t="s">
        <v>1387</v>
      </c>
      <c r="F135" s="479"/>
      <c r="G135" s="511"/>
      <c r="H135" s="292"/>
      <c r="I135" s="475"/>
      <c r="J135" s="292"/>
      <c r="K135" s="517">
        <v>0.11</v>
      </c>
      <c r="L135" s="477">
        <v>0</v>
      </c>
      <c r="M135" s="292">
        <v>0</v>
      </c>
      <c r="N135" s="498">
        <v>0</v>
      </c>
      <c r="O135" s="144">
        <v>0</v>
      </c>
      <c r="P135" s="309"/>
      <c r="Q135" s="168"/>
      <c r="AA135" s="168"/>
    </row>
    <row r="136" ht="15.75" customHeight="1" outlineLevel="2" spans="2:27">
      <c r="B136" s="470" t="s">
        <v>1802</v>
      </c>
      <c r="C136" s="471" t="s">
        <v>762</v>
      </c>
      <c r="D136" s="507" t="s">
        <v>1803</v>
      </c>
      <c r="E136" s="479"/>
      <c r="F136" s="290"/>
      <c r="G136" s="292"/>
      <c r="H136" s="292"/>
      <c r="I136" s="475"/>
      <c r="J136" s="301"/>
      <c r="K136" s="517"/>
      <c r="L136" s="301">
        <v>173.022358014328</v>
      </c>
      <c r="M136" s="301">
        <v>19.0324593815761</v>
      </c>
      <c r="N136" s="549">
        <v>192.054817395904</v>
      </c>
      <c r="O136" s="144">
        <v>83.014582361715</v>
      </c>
      <c r="P136" s="309"/>
      <c r="Q136" s="168"/>
      <c r="AA136" s="168"/>
    </row>
    <row r="137" ht="15.75" customHeight="1" outlineLevel="3" spans="2:27">
      <c r="B137" s="470" t="s">
        <v>1804</v>
      </c>
      <c r="C137" s="473" t="s">
        <v>622</v>
      </c>
      <c r="D137" s="507" t="s">
        <v>1805</v>
      </c>
      <c r="E137" s="479" t="s">
        <v>1386</v>
      </c>
      <c r="F137" s="479"/>
      <c r="G137" s="502"/>
      <c r="H137" s="524"/>
      <c r="I137" s="475"/>
      <c r="J137" s="524"/>
      <c r="K137" s="548">
        <v>0.11</v>
      </c>
      <c r="L137" s="477">
        <v>0</v>
      </c>
      <c r="M137" s="524">
        <v>0</v>
      </c>
      <c r="N137" s="498">
        <v>0</v>
      </c>
      <c r="O137" s="144">
        <v>0</v>
      </c>
      <c r="P137" s="309"/>
      <c r="Q137" s="168"/>
      <c r="AA137" s="168"/>
    </row>
    <row r="138" ht="15.75" customHeight="1" outlineLevel="3" spans="2:27">
      <c r="B138" s="470" t="s">
        <v>1807</v>
      </c>
      <c r="C138" s="473" t="s">
        <v>622</v>
      </c>
      <c r="D138" s="507" t="s">
        <v>1808</v>
      </c>
      <c r="E138" s="479" t="s">
        <v>1389</v>
      </c>
      <c r="F138" s="479"/>
      <c r="G138" s="525"/>
      <c r="H138" s="292"/>
      <c r="I138" s="475"/>
      <c r="J138" s="292"/>
      <c r="K138" s="517">
        <v>0.11</v>
      </c>
      <c r="L138" s="477">
        <v>0</v>
      </c>
      <c r="M138" s="292">
        <v>0</v>
      </c>
      <c r="N138" s="498">
        <v>0</v>
      </c>
      <c r="O138" s="144">
        <v>0</v>
      </c>
      <c r="P138" s="309"/>
      <c r="Q138" s="168"/>
      <c r="AA138" s="168"/>
    </row>
    <row r="139" ht="15.75" customHeight="1" outlineLevel="3" spans="2:27">
      <c r="B139" s="470" t="s">
        <v>1810</v>
      </c>
      <c r="C139" s="473" t="s">
        <v>622</v>
      </c>
      <c r="D139" s="507" t="s">
        <v>1811</v>
      </c>
      <c r="E139" s="479" t="s">
        <v>931</v>
      </c>
      <c r="F139" s="479"/>
      <c r="G139" s="502">
        <v>1</v>
      </c>
      <c r="H139" s="477" t="s">
        <v>655</v>
      </c>
      <c r="I139" s="475">
        <v>34604.4716028656</v>
      </c>
      <c r="J139" s="524">
        <v>50</v>
      </c>
      <c r="K139" s="548">
        <v>0.11</v>
      </c>
      <c r="L139" s="477">
        <v>173.022358014328</v>
      </c>
      <c r="M139" s="524">
        <v>19.0324593815761</v>
      </c>
      <c r="N139" s="498">
        <v>192.054817395904</v>
      </c>
      <c r="O139" s="144">
        <v>83.014582361715</v>
      </c>
      <c r="P139" s="309"/>
      <c r="Q139" s="168"/>
      <c r="AA139" s="168"/>
    </row>
    <row r="140" ht="15.75" customHeight="1" outlineLevel="3" spans="2:27">
      <c r="B140" s="470" t="s">
        <v>1812</v>
      </c>
      <c r="C140" s="473" t="s">
        <v>622</v>
      </c>
      <c r="D140" s="507" t="s">
        <v>1813</v>
      </c>
      <c r="E140" s="479" t="s">
        <v>1386</v>
      </c>
      <c r="F140" s="479"/>
      <c r="G140" s="502"/>
      <c r="H140" s="524"/>
      <c r="I140" s="475"/>
      <c r="J140" s="524"/>
      <c r="K140" s="548">
        <v>0.11</v>
      </c>
      <c r="L140" s="477">
        <v>0</v>
      </c>
      <c r="M140" s="524">
        <v>0</v>
      </c>
      <c r="N140" s="498">
        <v>0</v>
      </c>
      <c r="O140" s="144">
        <v>0</v>
      </c>
      <c r="P140" s="309"/>
      <c r="Q140" s="168"/>
      <c r="AA140" s="168"/>
    </row>
    <row r="141" ht="15.75" customHeight="1" outlineLevel="2" spans="2:27">
      <c r="B141" s="470" t="s">
        <v>1814</v>
      </c>
      <c r="C141" s="471" t="s">
        <v>778</v>
      </c>
      <c r="D141" s="507" t="s">
        <v>1815</v>
      </c>
      <c r="E141" s="290"/>
      <c r="F141" s="290"/>
      <c r="G141" s="292"/>
      <c r="H141" s="292"/>
      <c r="I141" s="475"/>
      <c r="J141" s="301"/>
      <c r="K141" s="517"/>
      <c r="L141" s="301">
        <v>20.7626829617194</v>
      </c>
      <c r="M141" s="301">
        <v>2.28389512578913</v>
      </c>
      <c r="N141" s="498">
        <v>23.0465780875085</v>
      </c>
      <c r="O141" s="144">
        <v>9.9617498834058</v>
      </c>
      <c r="P141" s="309"/>
      <c r="Q141" s="168"/>
      <c r="AA141" s="168"/>
    </row>
    <row r="142" ht="15.75" customHeight="1" outlineLevel="3" spans="2:27">
      <c r="B142" s="470" t="s">
        <v>1816</v>
      </c>
      <c r="C142" s="473" t="s">
        <v>622</v>
      </c>
      <c r="D142" s="527" t="s">
        <v>1817</v>
      </c>
      <c r="E142" s="502" t="s">
        <v>774</v>
      </c>
      <c r="F142" s="502" t="s">
        <v>505</v>
      </c>
      <c r="G142" s="480">
        <v>1</v>
      </c>
      <c r="H142" s="477" t="s">
        <v>655</v>
      </c>
      <c r="I142" s="144">
        <v>34604.4716028656</v>
      </c>
      <c r="J142" s="500"/>
      <c r="K142" s="550">
        <v>0.11</v>
      </c>
      <c r="L142" s="477">
        <v>0</v>
      </c>
      <c r="M142" s="500">
        <v>0</v>
      </c>
      <c r="N142" s="498">
        <v>0</v>
      </c>
      <c r="O142" s="144">
        <v>0</v>
      </c>
      <c r="P142" s="309"/>
      <c r="Q142" s="168"/>
      <c r="AA142" s="168"/>
    </row>
    <row r="143" ht="15.75" customHeight="1" outlineLevel="3" spans="2:27">
      <c r="B143" s="470" t="s">
        <v>1818</v>
      </c>
      <c r="C143" s="473" t="s">
        <v>622</v>
      </c>
      <c r="D143" s="527" t="s">
        <v>1821</v>
      </c>
      <c r="E143" s="502" t="s">
        <v>1390</v>
      </c>
      <c r="F143" s="502"/>
      <c r="G143" s="502"/>
      <c r="H143" s="524"/>
      <c r="I143" s="475"/>
      <c r="J143" s="551"/>
      <c r="K143" s="548">
        <v>0.17</v>
      </c>
      <c r="L143" s="477">
        <v>0</v>
      </c>
      <c r="M143" s="551">
        <v>0</v>
      </c>
      <c r="N143" s="498">
        <v>0</v>
      </c>
      <c r="O143" s="144">
        <v>0</v>
      </c>
      <c r="P143" s="309"/>
      <c r="Q143" s="168"/>
      <c r="AA143" s="168"/>
    </row>
    <row r="144" ht="15.75" customHeight="1" outlineLevel="3" spans="2:27">
      <c r="B144" s="470" t="s">
        <v>1820</v>
      </c>
      <c r="C144" s="473" t="s">
        <v>622</v>
      </c>
      <c r="D144" s="527" t="s">
        <v>1823</v>
      </c>
      <c r="E144" s="479" t="s">
        <v>1073</v>
      </c>
      <c r="F144" s="479"/>
      <c r="G144" s="480">
        <v>1</v>
      </c>
      <c r="H144" s="477" t="s">
        <v>655</v>
      </c>
      <c r="I144" s="144">
        <v>34604.4716028656</v>
      </c>
      <c r="J144" s="551">
        <v>6</v>
      </c>
      <c r="K144" s="548">
        <v>0.11</v>
      </c>
      <c r="L144" s="477">
        <v>20.7626829617194</v>
      </c>
      <c r="M144" s="551">
        <v>2.28389512578913</v>
      </c>
      <c r="N144" s="498">
        <v>23.0465780875085</v>
      </c>
      <c r="O144" s="144">
        <v>9.9617498834058</v>
      </c>
      <c r="P144" s="309"/>
      <c r="Q144" s="168"/>
      <c r="AA144" s="168"/>
    </row>
    <row r="145" ht="15.75" customHeight="1" outlineLevel="3" spans="2:27">
      <c r="B145" s="470" t="s">
        <v>1822</v>
      </c>
      <c r="C145" s="473" t="s">
        <v>622</v>
      </c>
      <c r="D145" s="527" t="s">
        <v>1825</v>
      </c>
      <c r="E145" s="502" t="s">
        <v>1391</v>
      </c>
      <c r="F145" s="502"/>
      <c r="G145" s="502"/>
      <c r="H145" s="524"/>
      <c r="I145" s="475"/>
      <c r="J145" s="551"/>
      <c r="K145" s="548">
        <v>0.11</v>
      </c>
      <c r="L145" s="477">
        <v>0</v>
      </c>
      <c r="M145" s="551">
        <v>0</v>
      </c>
      <c r="N145" s="498">
        <v>0</v>
      </c>
      <c r="O145" s="144">
        <v>0</v>
      </c>
      <c r="P145" s="309"/>
      <c r="Q145" s="168"/>
      <c r="AA145" s="168"/>
    </row>
    <row r="146" ht="15.75" customHeight="1" outlineLevel="1" spans="2:27">
      <c r="B146" s="121" t="s">
        <v>551</v>
      </c>
      <c r="C146" s="193">
        <v>2</v>
      </c>
      <c r="D146" s="121" t="s">
        <v>552</v>
      </c>
      <c r="E146" s="193"/>
      <c r="F146" s="193"/>
      <c r="G146" s="193"/>
      <c r="H146" s="155"/>
      <c r="I146" s="492"/>
      <c r="J146" s="155"/>
      <c r="K146" s="521"/>
      <c r="L146" s="155">
        <v>0</v>
      </c>
      <c r="M146" s="155">
        <v>0</v>
      </c>
      <c r="N146" s="494">
        <v>0</v>
      </c>
      <c r="O146" s="545">
        <v>0</v>
      </c>
      <c r="P146" s="233"/>
      <c r="Q146" s="168"/>
      <c r="AA146" s="168"/>
    </row>
    <row r="147" ht="15.75" customHeight="1" outlineLevel="2" spans="2:27">
      <c r="B147" s="470" t="s">
        <v>1828</v>
      </c>
      <c r="C147" s="471" t="s">
        <v>619</v>
      </c>
      <c r="D147" s="507" t="s">
        <v>1829</v>
      </c>
      <c r="E147" s="290"/>
      <c r="F147" s="290"/>
      <c r="G147" s="292"/>
      <c r="H147" s="292"/>
      <c r="I147" s="475"/>
      <c r="J147" s="301"/>
      <c r="K147" s="517"/>
      <c r="L147" s="301">
        <v>0</v>
      </c>
      <c r="M147" s="301">
        <v>0</v>
      </c>
      <c r="N147" s="498">
        <v>0</v>
      </c>
      <c r="O147" s="144">
        <v>0</v>
      </c>
      <c r="P147" s="309"/>
      <c r="Q147" s="168"/>
      <c r="AA147" s="168"/>
    </row>
    <row r="148" ht="15.75" customHeight="1" outlineLevel="3" spans="2:27">
      <c r="B148" s="470" t="s">
        <v>1830</v>
      </c>
      <c r="C148" s="473" t="s">
        <v>622</v>
      </c>
      <c r="D148" s="527" t="s">
        <v>1831</v>
      </c>
      <c r="E148" s="290" t="s">
        <v>1363</v>
      </c>
      <c r="F148" s="290"/>
      <c r="G148" s="292"/>
      <c r="H148" s="292"/>
      <c r="I148" s="475"/>
      <c r="J148" s="301"/>
      <c r="K148" s="517">
        <v>0.11</v>
      </c>
      <c r="L148" s="477">
        <v>0</v>
      </c>
      <c r="M148" s="301">
        <v>0</v>
      </c>
      <c r="N148" s="498">
        <v>0</v>
      </c>
      <c r="O148" s="144">
        <v>0</v>
      </c>
      <c r="P148" s="309"/>
      <c r="Q148" s="168"/>
      <c r="AA148" s="168"/>
    </row>
    <row r="149" ht="15.75" customHeight="1" outlineLevel="3" spans="2:27">
      <c r="B149" s="470" t="s">
        <v>1833</v>
      </c>
      <c r="C149" s="473" t="s">
        <v>622</v>
      </c>
      <c r="D149" s="527" t="s">
        <v>1834</v>
      </c>
      <c r="E149" s="290" t="s">
        <v>1371</v>
      </c>
      <c r="F149" s="290"/>
      <c r="G149" s="292"/>
      <c r="H149" s="292"/>
      <c r="I149" s="475"/>
      <c r="J149" s="301"/>
      <c r="K149" s="517">
        <v>0.17</v>
      </c>
      <c r="L149" s="477">
        <v>0</v>
      </c>
      <c r="M149" s="301">
        <v>0</v>
      </c>
      <c r="N149" s="498">
        <v>0</v>
      </c>
      <c r="O149" s="144">
        <v>0</v>
      </c>
      <c r="P149" s="309"/>
      <c r="Q149" s="168"/>
      <c r="AA149" s="168"/>
    </row>
    <row r="150" ht="15.75" customHeight="1" outlineLevel="3" spans="2:27">
      <c r="B150" s="470" t="s">
        <v>1835</v>
      </c>
      <c r="C150" s="473" t="s">
        <v>622</v>
      </c>
      <c r="D150" s="527" t="s">
        <v>1836</v>
      </c>
      <c r="E150" s="290" t="s">
        <v>1373</v>
      </c>
      <c r="F150" s="290"/>
      <c r="G150" s="292"/>
      <c r="H150" s="292"/>
      <c r="I150" s="475"/>
      <c r="J150" s="301"/>
      <c r="K150" s="517">
        <v>0.17</v>
      </c>
      <c r="L150" s="477">
        <v>0</v>
      </c>
      <c r="M150" s="301">
        <v>0</v>
      </c>
      <c r="N150" s="498">
        <v>0</v>
      </c>
      <c r="O150" s="144">
        <v>0</v>
      </c>
      <c r="P150" s="309"/>
      <c r="Q150" s="168"/>
      <c r="AA150" s="168"/>
    </row>
    <row r="151" ht="15.75" customHeight="1" outlineLevel="3" spans="2:27">
      <c r="B151" s="470" t="s">
        <v>1837</v>
      </c>
      <c r="C151" s="473" t="s">
        <v>622</v>
      </c>
      <c r="D151" s="527" t="s">
        <v>1838</v>
      </c>
      <c r="E151" s="290" t="s">
        <v>261</v>
      </c>
      <c r="F151" s="290"/>
      <c r="G151" s="292"/>
      <c r="H151" s="292"/>
      <c r="I151" s="475"/>
      <c r="J151" s="301"/>
      <c r="K151" s="517">
        <v>0.11</v>
      </c>
      <c r="L151" s="477">
        <v>0</v>
      </c>
      <c r="M151" s="301">
        <v>0</v>
      </c>
      <c r="N151" s="498">
        <v>0</v>
      </c>
      <c r="O151" s="144">
        <v>0</v>
      </c>
      <c r="P151" s="309"/>
      <c r="Q151" s="168"/>
      <c r="AA151" s="168"/>
    </row>
    <row r="152" ht="15.75" customHeight="1" outlineLevel="3" spans="2:27">
      <c r="B152" s="470" t="s">
        <v>1839</v>
      </c>
      <c r="C152" s="473" t="s">
        <v>622</v>
      </c>
      <c r="D152" s="527" t="s">
        <v>1840</v>
      </c>
      <c r="E152" s="290"/>
      <c r="F152" s="479"/>
      <c r="G152" s="108"/>
      <c r="H152" s="292"/>
      <c r="I152" s="475"/>
      <c r="J152" s="301"/>
      <c r="K152" s="517">
        <v>0.17</v>
      </c>
      <c r="L152" s="477">
        <v>0</v>
      </c>
      <c r="M152" s="301">
        <v>0</v>
      </c>
      <c r="N152" s="498">
        <v>0</v>
      </c>
      <c r="O152" s="144">
        <v>0</v>
      </c>
      <c r="P152" s="523"/>
      <c r="Q152" s="168"/>
      <c r="AA152" s="168"/>
    </row>
    <row r="153" ht="15.75" customHeight="1" outlineLevel="3" spans="2:27">
      <c r="B153" s="470" t="s">
        <v>1839</v>
      </c>
      <c r="C153" s="473" t="s">
        <v>622</v>
      </c>
      <c r="D153" s="527" t="s">
        <v>1842</v>
      </c>
      <c r="E153" s="290"/>
      <c r="F153" s="479"/>
      <c r="G153" s="108"/>
      <c r="H153" s="292"/>
      <c r="I153" s="475"/>
      <c r="J153" s="301"/>
      <c r="K153" s="517">
        <v>0.11</v>
      </c>
      <c r="L153" s="477">
        <v>0</v>
      </c>
      <c r="M153" s="301">
        <v>0</v>
      </c>
      <c r="N153" s="498">
        <v>0</v>
      </c>
      <c r="O153" s="144">
        <v>0</v>
      </c>
      <c r="P153" s="523"/>
      <c r="Q153" s="168"/>
      <c r="AA153" s="168"/>
    </row>
    <row r="154" ht="15.75" customHeight="1" outlineLevel="2" spans="2:27">
      <c r="B154" s="470" t="s">
        <v>1843</v>
      </c>
      <c r="C154" s="471" t="s">
        <v>657</v>
      </c>
      <c r="D154" s="507" t="s">
        <v>1844</v>
      </c>
      <c r="E154" s="290"/>
      <c r="F154" s="290"/>
      <c r="G154" s="292"/>
      <c r="H154" s="292"/>
      <c r="I154" s="475"/>
      <c r="J154" s="301"/>
      <c r="K154" s="517"/>
      <c r="L154" s="301">
        <v>0</v>
      </c>
      <c r="M154" s="301">
        <v>0</v>
      </c>
      <c r="N154" s="498">
        <v>0</v>
      </c>
      <c r="O154" s="144">
        <v>0</v>
      </c>
      <c r="P154" s="309"/>
      <c r="Q154" s="168"/>
      <c r="AA154" s="168"/>
    </row>
    <row r="155" ht="15.75" customHeight="1" outlineLevel="3" spans="2:27">
      <c r="B155" s="470" t="s">
        <v>1845</v>
      </c>
      <c r="C155" s="473" t="s">
        <v>622</v>
      </c>
      <c r="D155" s="527" t="s">
        <v>1846</v>
      </c>
      <c r="E155" s="290" t="s">
        <v>1363</v>
      </c>
      <c r="F155" s="290"/>
      <c r="G155" s="292"/>
      <c r="H155" s="292"/>
      <c r="I155" s="475"/>
      <c r="J155" s="301"/>
      <c r="K155" s="517">
        <v>0.11</v>
      </c>
      <c r="L155" s="477">
        <v>0</v>
      </c>
      <c r="M155" s="301">
        <v>0</v>
      </c>
      <c r="N155" s="498">
        <v>0</v>
      </c>
      <c r="O155" s="144">
        <v>0</v>
      </c>
      <c r="P155" s="309"/>
      <c r="Q155" s="168"/>
      <c r="AA155" s="168"/>
    </row>
    <row r="156" ht="15.75" customHeight="1" outlineLevel="3" spans="2:27">
      <c r="B156" s="470" t="s">
        <v>1847</v>
      </c>
      <c r="C156" s="473" t="s">
        <v>622</v>
      </c>
      <c r="D156" s="527" t="s">
        <v>1848</v>
      </c>
      <c r="E156" s="290" t="s">
        <v>1371</v>
      </c>
      <c r="F156" s="290"/>
      <c r="G156" s="292"/>
      <c r="H156" s="292"/>
      <c r="I156" s="475"/>
      <c r="J156" s="301"/>
      <c r="K156" s="517">
        <v>0.17</v>
      </c>
      <c r="L156" s="477">
        <v>0</v>
      </c>
      <c r="M156" s="301">
        <v>0</v>
      </c>
      <c r="N156" s="498">
        <v>0</v>
      </c>
      <c r="O156" s="144">
        <v>0</v>
      </c>
      <c r="P156" s="309"/>
      <c r="Q156" s="168"/>
      <c r="AA156" s="168"/>
    </row>
    <row r="157" ht="15.75" customHeight="1" outlineLevel="3" spans="2:27">
      <c r="B157" s="470" t="s">
        <v>1849</v>
      </c>
      <c r="C157" s="473" t="s">
        <v>622</v>
      </c>
      <c r="D157" s="527" t="s">
        <v>1850</v>
      </c>
      <c r="E157" s="290" t="s">
        <v>1373</v>
      </c>
      <c r="F157" s="290"/>
      <c r="G157" s="292"/>
      <c r="H157" s="292"/>
      <c r="I157" s="475"/>
      <c r="J157" s="301"/>
      <c r="K157" s="517">
        <v>0.17</v>
      </c>
      <c r="L157" s="477">
        <v>0</v>
      </c>
      <c r="M157" s="301">
        <v>0</v>
      </c>
      <c r="N157" s="498">
        <v>0</v>
      </c>
      <c r="O157" s="144">
        <v>0</v>
      </c>
      <c r="P157" s="309"/>
      <c r="Q157" s="168"/>
      <c r="AA157" s="168"/>
    </row>
    <row r="158" ht="15.75" customHeight="1" outlineLevel="3" spans="2:27">
      <c r="B158" s="470" t="s">
        <v>1851</v>
      </c>
      <c r="C158" s="473" t="s">
        <v>622</v>
      </c>
      <c r="D158" s="527" t="s">
        <v>1852</v>
      </c>
      <c r="E158" s="290" t="s">
        <v>261</v>
      </c>
      <c r="F158" s="290"/>
      <c r="G158" s="292"/>
      <c r="H158" s="292"/>
      <c r="I158" s="475"/>
      <c r="J158" s="301"/>
      <c r="K158" s="517">
        <v>0.11</v>
      </c>
      <c r="L158" s="477">
        <v>0</v>
      </c>
      <c r="M158" s="301">
        <v>0</v>
      </c>
      <c r="N158" s="498">
        <v>0</v>
      </c>
      <c r="O158" s="144">
        <v>0</v>
      </c>
      <c r="P158" s="309"/>
      <c r="Q158" s="168"/>
      <c r="AA158" s="168"/>
    </row>
    <row r="159" ht="15.75" customHeight="1" outlineLevel="3" spans="2:27">
      <c r="B159" s="470" t="s">
        <v>1853</v>
      </c>
      <c r="C159" s="473" t="s">
        <v>622</v>
      </c>
      <c r="D159" s="527" t="s">
        <v>1854</v>
      </c>
      <c r="E159" s="479"/>
      <c r="F159" s="479"/>
      <c r="G159" s="108"/>
      <c r="H159" s="292"/>
      <c r="I159" s="475"/>
      <c r="J159" s="301"/>
      <c r="K159" s="517">
        <v>0.17</v>
      </c>
      <c r="L159" s="477">
        <v>0</v>
      </c>
      <c r="M159" s="301">
        <v>0</v>
      </c>
      <c r="N159" s="498">
        <v>0</v>
      </c>
      <c r="O159" s="144">
        <v>0</v>
      </c>
      <c r="P159" s="523"/>
      <c r="Q159" s="168"/>
      <c r="AA159" s="168"/>
    </row>
    <row r="160" ht="15.75" customHeight="1" outlineLevel="2" spans="2:27">
      <c r="B160" s="470" t="s">
        <v>1855</v>
      </c>
      <c r="C160" s="471" t="s">
        <v>762</v>
      </c>
      <c r="D160" s="507" t="s">
        <v>1856</v>
      </c>
      <c r="E160" s="290"/>
      <c r="F160" s="290"/>
      <c r="G160" s="292"/>
      <c r="H160" s="292"/>
      <c r="I160" s="475"/>
      <c r="J160" s="301"/>
      <c r="K160" s="517">
        <v>0.11</v>
      </c>
      <c r="L160" s="477">
        <v>0</v>
      </c>
      <c r="M160" s="301">
        <v>0</v>
      </c>
      <c r="N160" s="498">
        <v>0</v>
      </c>
      <c r="O160" s="144">
        <v>0</v>
      </c>
      <c r="P160" s="309"/>
      <c r="Q160" s="168"/>
      <c r="AA160" s="168"/>
    </row>
    <row r="161" ht="15.75" customHeight="1" outlineLevel="2" spans="2:27">
      <c r="B161" s="470" t="s">
        <v>1857</v>
      </c>
      <c r="C161" s="471" t="s">
        <v>778</v>
      </c>
      <c r="D161" s="507" t="s">
        <v>1858</v>
      </c>
      <c r="E161" s="290" t="s">
        <v>1363</v>
      </c>
      <c r="F161" s="290"/>
      <c r="G161" s="292"/>
      <c r="H161" s="292"/>
      <c r="I161" s="475"/>
      <c r="J161" s="301"/>
      <c r="K161" s="517">
        <v>0.11</v>
      </c>
      <c r="L161" s="477">
        <v>0</v>
      </c>
      <c r="M161" s="301">
        <v>0</v>
      </c>
      <c r="N161" s="498">
        <v>0</v>
      </c>
      <c r="O161" s="144">
        <v>0</v>
      </c>
      <c r="P161" s="309"/>
      <c r="Q161" s="168"/>
      <c r="AA161" s="168"/>
    </row>
    <row r="162" ht="15.75" customHeight="1" outlineLevel="2" spans="2:27">
      <c r="B162" s="470" t="s">
        <v>1859</v>
      </c>
      <c r="C162" s="471" t="s">
        <v>781</v>
      </c>
      <c r="D162" s="507" t="s">
        <v>1860</v>
      </c>
      <c r="E162" s="479" t="s">
        <v>774</v>
      </c>
      <c r="F162" s="290"/>
      <c r="G162" s="292"/>
      <c r="H162" s="292"/>
      <c r="I162" s="475"/>
      <c r="J162" s="301"/>
      <c r="K162" s="517">
        <v>0.11</v>
      </c>
      <c r="L162" s="477">
        <v>0</v>
      </c>
      <c r="M162" s="301">
        <v>0</v>
      </c>
      <c r="N162" s="498">
        <v>0</v>
      </c>
      <c r="O162" s="144">
        <v>0</v>
      </c>
      <c r="P162" s="309"/>
      <c r="Q162" s="168"/>
      <c r="AA162" s="168"/>
    </row>
    <row r="163" ht="15.75" customHeight="1" outlineLevel="2" spans="2:27">
      <c r="B163" s="470" t="s">
        <v>1862</v>
      </c>
      <c r="C163" s="471" t="s">
        <v>788</v>
      </c>
      <c r="D163" s="507" t="s">
        <v>1863</v>
      </c>
      <c r="E163" s="290"/>
      <c r="F163" s="290"/>
      <c r="G163" s="292"/>
      <c r="H163" s="292"/>
      <c r="I163" s="475"/>
      <c r="J163" s="301"/>
      <c r="K163" s="517"/>
      <c r="L163" s="301">
        <v>0</v>
      </c>
      <c r="M163" s="301">
        <v>0</v>
      </c>
      <c r="N163" s="498">
        <v>0</v>
      </c>
      <c r="O163" s="144">
        <v>0</v>
      </c>
      <c r="P163" s="309"/>
      <c r="Q163" s="168"/>
      <c r="AA163" s="168"/>
    </row>
    <row r="164" ht="15.75" customHeight="1" outlineLevel="3" spans="2:27">
      <c r="B164" s="470" t="s">
        <v>1864</v>
      </c>
      <c r="C164" s="473" t="s">
        <v>622</v>
      </c>
      <c r="D164" s="527" t="s">
        <v>1865</v>
      </c>
      <c r="E164" s="479" t="s">
        <v>1363</v>
      </c>
      <c r="F164" s="65"/>
      <c r="G164" s="203"/>
      <c r="H164" s="292"/>
      <c r="I164" s="475"/>
      <c r="J164" s="301"/>
      <c r="K164" s="517">
        <v>0.11</v>
      </c>
      <c r="L164" s="477">
        <v>0</v>
      </c>
      <c r="M164" s="301">
        <v>0</v>
      </c>
      <c r="N164" s="498">
        <v>0</v>
      </c>
      <c r="O164" s="144">
        <v>0</v>
      </c>
      <c r="P164" s="523"/>
      <c r="Q164" s="168"/>
      <c r="AA164" s="168"/>
    </row>
    <row r="165" ht="15.75" customHeight="1" outlineLevel="3" spans="2:27">
      <c r="B165" s="470" t="s">
        <v>1867</v>
      </c>
      <c r="C165" s="473" t="s">
        <v>622</v>
      </c>
      <c r="D165" s="527" t="s">
        <v>1868</v>
      </c>
      <c r="E165" s="479" t="s">
        <v>1371</v>
      </c>
      <c r="F165" s="65"/>
      <c r="G165" s="203"/>
      <c r="H165" s="292"/>
      <c r="I165" s="475"/>
      <c r="J165" s="301"/>
      <c r="K165" s="517">
        <v>0.17</v>
      </c>
      <c r="L165" s="477">
        <v>0</v>
      </c>
      <c r="M165" s="301">
        <v>0</v>
      </c>
      <c r="N165" s="498">
        <v>0</v>
      </c>
      <c r="O165" s="144">
        <v>0</v>
      </c>
      <c r="P165" s="523"/>
      <c r="Q165" s="168"/>
      <c r="AA165" s="168"/>
    </row>
    <row r="166" ht="15.75" customHeight="1" outlineLevel="3" spans="2:27">
      <c r="B166" s="470" t="s">
        <v>1869</v>
      </c>
      <c r="C166" s="473" t="s">
        <v>622</v>
      </c>
      <c r="D166" s="527" t="s">
        <v>1870</v>
      </c>
      <c r="E166" s="479" t="s">
        <v>1373</v>
      </c>
      <c r="F166" s="65"/>
      <c r="G166" s="114"/>
      <c r="H166" s="292"/>
      <c r="I166" s="475"/>
      <c r="J166" s="301"/>
      <c r="K166" s="517">
        <v>0.17</v>
      </c>
      <c r="L166" s="477">
        <v>0</v>
      </c>
      <c r="M166" s="301">
        <v>0</v>
      </c>
      <c r="N166" s="498">
        <v>0</v>
      </c>
      <c r="O166" s="144">
        <v>0</v>
      </c>
      <c r="P166" s="523"/>
      <c r="Q166" s="168"/>
      <c r="AA166" s="168"/>
    </row>
    <row r="167" ht="15.75" customHeight="1" outlineLevel="3" spans="2:27">
      <c r="B167" s="470" t="s">
        <v>1871</v>
      </c>
      <c r="C167" s="473" t="s">
        <v>622</v>
      </c>
      <c r="D167" s="527" t="s">
        <v>1872</v>
      </c>
      <c r="E167" s="65" t="s">
        <v>1372</v>
      </c>
      <c r="F167" s="65"/>
      <c r="G167" s="114"/>
      <c r="H167" s="292"/>
      <c r="I167" s="475"/>
      <c r="J167" s="301"/>
      <c r="K167" s="517">
        <v>0.17</v>
      </c>
      <c r="L167" s="477">
        <v>0</v>
      </c>
      <c r="M167" s="301">
        <v>0</v>
      </c>
      <c r="N167" s="498">
        <v>0</v>
      </c>
      <c r="O167" s="144">
        <v>0</v>
      </c>
      <c r="P167" s="523"/>
      <c r="Q167" s="168"/>
      <c r="AA167" s="168"/>
    </row>
    <row r="168" ht="15.75" customHeight="1" outlineLevel="2" spans="2:27">
      <c r="B168" s="470" t="s">
        <v>1873</v>
      </c>
      <c r="C168" s="471" t="s">
        <v>791</v>
      </c>
      <c r="D168" s="507" t="s">
        <v>1874</v>
      </c>
      <c r="E168" s="290"/>
      <c r="F168" s="290"/>
      <c r="G168" s="292"/>
      <c r="H168" s="292"/>
      <c r="I168" s="475"/>
      <c r="J168" s="301"/>
      <c r="K168" s="517">
        <v>0.11</v>
      </c>
      <c r="L168" s="477">
        <v>0</v>
      </c>
      <c r="M168" s="301">
        <v>0</v>
      </c>
      <c r="N168" s="498">
        <v>0</v>
      </c>
      <c r="O168" s="144">
        <v>0</v>
      </c>
      <c r="P168" s="309"/>
      <c r="Q168" s="168"/>
      <c r="AA168" s="168"/>
    </row>
    <row r="169" ht="15.75" customHeight="1" outlineLevel="2" spans="2:27">
      <c r="B169" s="470" t="s">
        <v>1875</v>
      </c>
      <c r="C169" s="471" t="s">
        <v>794</v>
      </c>
      <c r="D169" s="507" t="s">
        <v>1876</v>
      </c>
      <c r="E169" s="290"/>
      <c r="F169" s="290"/>
      <c r="G169" s="292"/>
      <c r="H169" s="292"/>
      <c r="I169" s="475"/>
      <c r="J169" s="301"/>
      <c r="K169" s="517">
        <v>0.11</v>
      </c>
      <c r="L169" s="477">
        <v>0</v>
      </c>
      <c r="M169" s="301">
        <v>0</v>
      </c>
      <c r="N169" s="498">
        <v>0</v>
      </c>
      <c r="O169" s="144">
        <v>0</v>
      </c>
      <c r="P169" s="309"/>
      <c r="Q169" s="168"/>
      <c r="AA169" s="168"/>
    </row>
    <row r="170" ht="15.75" customHeight="1" outlineLevel="2" spans="2:27">
      <c r="B170" s="470" t="s">
        <v>1877</v>
      </c>
      <c r="C170" s="471" t="s">
        <v>797</v>
      </c>
      <c r="D170" s="507" t="s">
        <v>1878</v>
      </c>
      <c r="E170" s="290"/>
      <c r="F170" s="290"/>
      <c r="G170" s="292"/>
      <c r="H170" s="292"/>
      <c r="I170" s="475"/>
      <c r="J170" s="301"/>
      <c r="K170" s="517">
        <v>0.11</v>
      </c>
      <c r="L170" s="477">
        <v>0</v>
      </c>
      <c r="M170" s="301">
        <v>0</v>
      </c>
      <c r="N170" s="498">
        <v>0</v>
      </c>
      <c r="O170" s="144">
        <v>0</v>
      </c>
      <c r="P170" s="309"/>
      <c r="Q170" s="168"/>
      <c r="AA170" s="168"/>
    </row>
    <row r="171" ht="15.75" customHeight="1" outlineLevel="2" spans="2:27">
      <c r="B171" s="470" t="s">
        <v>1879</v>
      </c>
      <c r="C171" s="471" t="s">
        <v>1519</v>
      </c>
      <c r="D171" s="507" t="s">
        <v>1880</v>
      </c>
      <c r="E171" s="290"/>
      <c r="F171" s="290"/>
      <c r="G171" s="292"/>
      <c r="H171" s="292"/>
      <c r="I171" s="475"/>
      <c r="J171" s="301"/>
      <c r="K171" s="517">
        <v>0.17</v>
      </c>
      <c r="L171" s="477">
        <v>0</v>
      </c>
      <c r="M171" s="301">
        <v>0</v>
      </c>
      <c r="N171" s="498">
        <v>0</v>
      </c>
      <c r="O171" s="144">
        <v>0</v>
      </c>
      <c r="P171" s="309"/>
      <c r="Q171" s="168"/>
      <c r="AA171" s="168"/>
    </row>
    <row r="172" s="456" customFormat="1" ht="15.75" customHeight="1" outlineLevel="1" spans="2:16">
      <c r="B172" s="529" t="s">
        <v>553</v>
      </c>
      <c r="C172" s="530">
        <v>3</v>
      </c>
      <c r="D172" s="529" t="s">
        <v>554</v>
      </c>
      <c r="E172" s="530"/>
      <c r="F172" s="530"/>
      <c r="G172" s="530"/>
      <c r="H172" s="531"/>
      <c r="I172" s="533"/>
      <c r="J172" s="531"/>
      <c r="K172" s="534"/>
      <c r="L172" s="531">
        <v>29.6164396601102</v>
      </c>
      <c r="M172" s="531">
        <v>3.25780836261212</v>
      </c>
      <c r="N172" s="552">
        <v>32.8742480227223</v>
      </c>
      <c r="O172" s="553">
        <v>14.2097032871404</v>
      </c>
      <c r="P172" s="536"/>
    </row>
    <row r="173" ht="15.75" customHeight="1" outlineLevel="2" spans="2:27">
      <c r="B173" s="470" t="s">
        <v>1881</v>
      </c>
      <c r="C173" s="471" t="s">
        <v>619</v>
      </c>
      <c r="D173" s="507" t="s">
        <v>1882</v>
      </c>
      <c r="E173" s="479"/>
      <c r="F173" s="479"/>
      <c r="G173" s="292"/>
      <c r="H173" s="292"/>
      <c r="I173" s="475"/>
      <c r="J173" s="301"/>
      <c r="K173" s="517"/>
      <c r="L173" s="301">
        <v>29.6164396601102</v>
      </c>
      <c r="M173" s="301">
        <v>3.25780836261212</v>
      </c>
      <c r="N173" s="498">
        <v>32.8742480227223</v>
      </c>
      <c r="O173" s="144">
        <v>14.2097032871404</v>
      </c>
      <c r="P173" s="309"/>
      <c r="Q173" s="168"/>
      <c r="AA173" s="168"/>
    </row>
    <row r="174" ht="15.75" customHeight="1" outlineLevel="3" spans="2:27">
      <c r="B174" s="470" t="s">
        <v>1883</v>
      </c>
      <c r="C174" s="473" t="s">
        <v>622</v>
      </c>
      <c r="D174" s="507" t="s">
        <v>1884</v>
      </c>
      <c r="E174" s="479" t="s">
        <v>993</v>
      </c>
      <c r="F174" s="479" t="s">
        <v>505</v>
      </c>
      <c r="G174" s="292">
        <v>1</v>
      </c>
      <c r="H174" s="292" t="s">
        <v>655</v>
      </c>
      <c r="I174" s="144">
        <v>34604.4716028656</v>
      </c>
      <c r="J174" s="301"/>
      <c r="K174" s="517">
        <v>0.11</v>
      </c>
      <c r="L174" s="477">
        <v>0</v>
      </c>
      <c r="M174" s="301">
        <v>0</v>
      </c>
      <c r="N174" s="498">
        <v>0</v>
      </c>
      <c r="O174" s="547">
        <v>0</v>
      </c>
      <c r="P174" s="523"/>
      <c r="Q174" s="168"/>
      <c r="AA174" s="168"/>
    </row>
    <row r="175" ht="15.75" customHeight="1" outlineLevel="3" spans="2:27">
      <c r="B175" s="470" t="s">
        <v>1885</v>
      </c>
      <c r="C175" s="473" t="s">
        <v>622</v>
      </c>
      <c r="D175" s="507" t="s">
        <v>1886</v>
      </c>
      <c r="E175" s="479" t="s">
        <v>1392</v>
      </c>
      <c r="F175" s="479"/>
      <c r="G175" s="525"/>
      <c r="H175" s="477"/>
      <c r="I175" s="478"/>
      <c r="J175" s="477"/>
      <c r="K175" s="522">
        <v>0.11</v>
      </c>
      <c r="L175" s="477">
        <v>0</v>
      </c>
      <c r="M175" s="477">
        <v>0</v>
      </c>
      <c r="N175" s="498">
        <v>0</v>
      </c>
      <c r="O175" s="547">
        <v>0</v>
      </c>
      <c r="P175" s="523"/>
      <c r="Q175" s="168"/>
      <c r="AA175" s="168"/>
    </row>
    <row r="176" ht="15.75" customHeight="1" outlineLevel="3" spans="2:27">
      <c r="B176" s="470" t="s">
        <v>1887</v>
      </c>
      <c r="C176" s="473" t="s">
        <v>622</v>
      </c>
      <c r="D176" s="507" t="s">
        <v>1888</v>
      </c>
      <c r="E176" s="290" t="s">
        <v>1393</v>
      </c>
      <c r="F176" s="290"/>
      <c r="G176" s="532">
        <v>1</v>
      </c>
      <c r="H176" s="292" t="s">
        <v>655</v>
      </c>
      <c r="I176" s="144">
        <v>34604.4716028656</v>
      </c>
      <c r="J176" s="291">
        <v>8.55855855855856</v>
      </c>
      <c r="K176" s="517">
        <v>0.11</v>
      </c>
      <c r="L176" s="477">
        <v>29.6164396601102</v>
      </c>
      <c r="M176" s="292">
        <v>3.25780836261212</v>
      </c>
      <c r="N176" s="498">
        <v>32.8742480227223</v>
      </c>
      <c r="O176" s="144">
        <v>14.2097032871404</v>
      </c>
      <c r="P176" s="309"/>
      <c r="Q176" s="168"/>
      <c r="AA176" s="168"/>
    </row>
    <row r="177" ht="15.75" customHeight="1" outlineLevel="3" spans="2:27">
      <c r="B177" s="470" t="s">
        <v>1889</v>
      </c>
      <c r="C177" s="473" t="s">
        <v>622</v>
      </c>
      <c r="D177" s="507" t="s">
        <v>1890</v>
      </c>
      <c r="E177" s="290"/>
      <c r="F177" s="290"/>
      <c r="G177" s="532"/>
      <c r="H177" s="292"/>
      <c r="I177" s="475"/>
      <c r="J177" s="292"/>
      <c r="K177" s="517">
        <v>0.11</v>
      </c>
      <c r="L177" s="477">
        <v>0</v>
      </c>
      <c r="M177" s="292">
        <v>0</v>
      </c>
      <c r="N177" s="498">
        <v>0</v>
      </c>
      <c r="O177" s="144">
        <v>0</v>
      </c>
      <c r="P177" s="309"/>
      <c r="Q177" s="168"/>
      <c r="AA177" s="168"/>
    </row>
    <row r="178" ht="15.75" customHeight="1" outlineLevel="3" spans="2:27">
      <c r="B178" s="470" t="s">
        <v>1891</v>
      </c>
      <c r="C178" s="473" t="s">
        <v>622</v>
      </c>
      <c r="D178" s="507" t="s">
        <v>1892</v>
      </c>
      <c r="E178" s="290" t="s">
        <v>993</v>
      </c>
      <c r="F178" s="290"/>
      <c r="G178" s="532"/>
      <c r="H178" s="292"/>
      <c r="I178" s="475"/>
      <c r="J178" s="292"/>
      <c r="K178" s="517">
        <v>0.11</v>
      </c>
      <c r="L178" s="477">
        <v>0</v>
      </c>
      <c r="M178" s="292">
        <v>0</v>
      </c>
      <c r="N178" s="498">
        <v>0</v>
      </c>
      <c r="O178" s="144">
        <v>0</v>
      </c>
      <c r="P178" s="309"/>
      <c r="Q178" s="168"/>
      <c r="AA178" s="168"/>
    </row>
    <row r="179" ht="15.75" customHeight="1" outlineLevel="3" spans="2:27">
      <c r="B179" s="470" t="s">
        <v>1893</v>
      </c>
      <c r="C179" s="473" t="s">
        <v>622</v>
      </c>
      <c r="D179" s="507" t="s">
        <v>1894</v>
      </c>
      <c r="E179" s="290" t="s">
        <v>1394</v>
      </c>
      <c r="F179" s="290"/>
      <c r="G179" s="532"/>
      <c r="H179" s="292"/>
      <c r="I179" s="475"/>
      <c r="J179" s="292"/>
      <c r="K179" s="517">
        <v>0.11</v>
      </c>
      <c r="L179" s="477">
        <v>0</v>
      </c>
      <c r="M179" s="292">
        <v>0</v>
      </c>
      <c r="N179" s="498">
        <v>0</v>
      </c>
      <c r="O179" s="144">
        <v>0</v>
      </c>
      <c r="P179" s="309"/>
      <c r="Q179" s="168"/>
      <c r="AA179" s="168"/>
    </row>
    <row r="180" ht="15.75" customHeight="1" outlineLevel="3" spans="2:27">
      <c r="B180" s="470" t="s">
        <v>1895</v>
      </c>
      <c r="C180" s="473" t="s">
        <v>622</v>
      </c>
      <c r="D180" s="507" t="s">
        <v>1896</v>
      </c>
      <c r="E180" s="290" t="s">
        <v>1392</v>
      </c>
      <c r="F180" s="290"/>
      <c r="G180" s="532"/>
      <c r="H180" s="292"/>
      <c r="I180" s="475"/>
      <c r="J180" s="292"/>
      <c r="K180" s="517">
        <v>0.11</v>
      </c>
      <c r="L180" s="477">
        <v>0</v>
      </c>
      <c r="M180" s="292">
        <v>0</v>
      </c>
      <c r="N180" s="498">
        <v>0</v>
      </c>
      <c r="O180" s="144">
        <v>0</v>
      </c>
      <c r="P180" s="309"/>
      <c r="Q180" s="168"/>
      <c r="AA180" s="168"/>
    </row>
    <row r="181" ht="15.75" customHeight="1" outlineLevel="3" spans="1:27">
      <c r="A181" s="456"/>
      <c r="B181" s="470" t="s">
        <v>1897</v>
      </c>
      <c r="C181" s="473" t="s">
        <v>622</v>
      </c>
      <c r="D181" s="507" t="s">
        <v>1898</v>
      </c>
      <c r="E181" s="290"/>
      <c r="F181" s="290"/>
      <c r="G181" s="532"/>
      <c r="H181" s="292"/>
      <c r="I181" s="475"/>
      <c r="J181" s="292"/>
      <c r="K181" s="517">
        <v>0.11</v>
      </c>
      <c r="L181" s="477">
        <v>0</v>
      </c>
      <c r="M181" s="292">
        <v>0</v>
      </c>
      <c r="N181" s="498">
        <v>0</v>
      </c>
      <c r="O181" s="144">
        <v>0</v>
      </c>
      <c r="P181" s="309"/>
      <c r="Q181" s="168"/>
      <c r="AA181" s="168"/>
    </row>
    <row r="182" s="457" customFormat="1" ht="15.75" customHeight="1" outlineLevel="2" spans="1:17">
      <c r="A182" s="456"/>
      <c r="B182" s="470" t="s">
        <v>1899</v>
      </c>
      <c r="C182" s="471" t="s">
        <v>657</v>
      </c>
      <c r="D182" s="507" t="s">
        <v>1900</v>
      </c>
      <c r="E182" s="366"/>
      <c r="F182" s="366"/>
      <c r="G182" s="366"/>
      <c r="H182" s="313"/>
      <c r="I182" s="518"/>
      <c r="J182" s="313"/>
      <c r="K182" s="537">
        <v>0.11</v>
      </c>
      <c r="L182" s="477">
        <v>0</v>
      </c>
      <c r="M182" s="313">
        <v>0</v>
      </c>
      <c r="N182" s="498">
        <v>0</v>
      </c>
      <c r="O182" s="144">
        <v>0</v>
      </c>
      <c r="P182" s="309"/>
      <c r="Q182" s="456"/>
    </row>
    <row r="183" s="457" customFormat="1" ht="15.75" customHeight="1" outlineLevel="2" spans="1:17">
      <c r="A183" s="456"/>
      <c r="B183" s="470" t="s">
        <v>1901</v>
      </c>
      <c r="C183" s="471" t="s">
        <v>762</v>
      </c>
      <c r="D183" s="507" t="s">
        <v>1902</v>
      </c>
      <c r="E183" s="366"/>
      <c r="F183" s="366"/>
      <c r="G183" s="366"/>
      <c r="H183" s="313"/>
      <c r="I183" s="518"/>
      <c r="J183" s="313"/>
      <c r="K183" s="537">
        <v>0.11</v>
      </c>
      <c r="L183" s="477">
        <v>0</v>
      </c>
      <c r="M183" s="313">
        <v>0</v>
      </c>
      <c r="N183" s="498">
        <v>0</v>
      </c>
      <c r="O183" s="144">
        <v>0</v>
      </c>
      <c r="P183" s="309"/>
      <c r="Q183" s="456"/>
    </row>
    <row r="184" ht="15.75" customHeight="1" outlineLevel="1" spans="2:27">
      <c r="B184" s="121" t="s">
        <v>555</v>
      </c>
      <c r="C184" s="121">
        <v>4</v>
      </c>
      <c r="D184" s="121" t="s">
        <v>556</v>
      </c>
      <c r="E184" s="193"/>
      <c r="F184" s="193"/>
      <c r="G184" s="193"/>
      <c r="H184" s="155"/>
      <c r="I184" s="492"/>
      <c r="J184" s="492"/>
      <c r="K184" s="521"/>
      <c r="L184" s="155">
        <v>0</v>
      </c>
      <c r="M184" s="155">
        <v>0</v>
      </c>
      <c r="N184" s="155">
        <v>0</v>
      </c>
      <c r="O184" s="545">
        <v>0</v>
      </c>
      <c r="P184" s="233"/>
      <c r="Q184" s="456"/>
      <c r="AA184" s="168"/>
    </row>
    <row r="185" ht="15.75" customHeight="1" outlineLevel="2" spans="2:27">
      <c r="B185" s="470" t="s">
        <v>1903</v>
      </c>
      <c r="C185" s="471" t="s">
        <v>619</v>
      </c>
      <c r="D185" s="507" t="s">
        <v>1904</v>
      </c>
      <c r="E185" s="479" t="s">
        <v>1396</v>
      </c>
      <c r="F185" s="479" t="s">
        <v>601</v>
      </c>
      <c r="G185" s="525">
        <v>1</v>
      </c>
      <c r="H185" s="292" t="s">
        <v>1681</v>
      </c>
      <c r="I185" s="475"/>
      <c r="J185" s="475"/>
      <c r="K185" s="517">
        <v>0.11</v>
      </c>
      <c r="L185" s="477">
        <v>0</v>
      </c>
      <c r="M185" s="477">
        <v>0</v>
      </c>
      <c r="N185" s="498">
        <v>0</v>
      </c>
      <c r="O185" s="499" t="e">
        <v>#VALUE!</v>
      </c>
      <c r="P185" s="309"/>
      <c r="Q185" s="309"/>
      <c r="AA185" s="168"/>
    </row>
    <row r="186" ht="15.75" customHeight="1" outlineLevel="2" spans="2:27">
      <c r="B186" s="470" t="s">
        <v>1905</v>
      </c>
      <c r="C186" s="471" t="s">
        <v>657</v>
      </c>
      <c r="D186" s="507" t="s">
        <v>1906</v>
      </c>
      <c r="E186" s="290"/>
      <c r="F186" s="290"/>
      <c r="G186" s="365"/>
      <c r="H186" s="292"/>
      <c r="I186" s="475"/>
      <c r="J186" s="475"/>
      <c r="K186" s="517">
        <v>0.11</v>
      </c>
      <c r="L186" s="477">
        <v>0</v>
      </c>
      <c r="M186" s="477">
        <v>0</v>
      </c>
      <c r="N186" s="498">
        <v>0</v>
      </c>
      <c r="O186" s="499" t="e">
        <v>#VALUE!</v>
      </c>
      <c r="P186" s="309"/>
      <c r="Q186" s="309"/>
      <c r="AA186" s="168"/>
    </row>
    <row r="187" ht="15.75" customHeight="1" outlineLevel="2" spans="2:27">
      <c r="B187" s="470" t="s">
        <v>1907</v>
      </c>
      <c r="C187" s="471" t="s">
        <v>762</v>
      </c>
      <c r="D187" s="507" t="s">
        <v>1908</v>
      </c>
      <c r="E187" s="290"/>
      <c r="F187" s="290"/>
      <c r="G187" s="292"/>
      <c r="H187" s="292"/>
      <c r="I187" s="475"/>
      <c r="J187" s="475"/>
      <c r="K187" s="517">
        <v>0.11</v>
      </c>
      <c r="L187" s="477">
        <v>0</v>
      </c>
      <c r="M187" s="477">
        <v>0</v>
      </c>
      <c r="N187" s="498">
        <v>0</v>
      </c>
      <c r="O187" s="499" t="e">
        <v>#VALUE!</v>
      </c>
      <c r="P187" s="309"/>
      <c r="Q187" s="309"/>
      <c r="AA187" s="168"/>
    </row>
    <row r="188" ht="15.75" customHeight="1" outlineLevel="2" spans="2:27">
      <c r="B188" s="470" t="s">
        <v>1909</v>
      </c>
      <c r="C188" s="471" t="s">
        <v>778</v>
      </c>
      <c r="D188" s="507" t="s">
        <v>1910</v>
      </c>
      <c r="E188" s="290"/>
      <c r="F188" s="290"/>
      <c r="G188" s="292"/>
      <c r="H188" s="292"/>
      <c r="I188" s="475"/>
      <c r="J188" s="475"/>
      <c r="K188" s="517">
        <v>0.11</v>
      </c>
      <c r="L188" s="477">
        <v>0</v>
      </c>
      <c r="M188" s="477">
        <v>0</v>
      </c>
      <c r="N188" s="498">
        <v>0</v>
      </c>
      <c r="O188" s="499" t="e">
        <v>#VALUE!</v>
      </c>
      <c r="P188" s="309"/>
      <c r="Q188" s="309"/>
      <c r="AA188" s="168"/>
    </row>
    <row r="189" ht="15.75" customHeight="1" outlineLevel="2" spans="2:27">
      <c r="B189" s="470" t="s">
        <v>1911</v>
      </c>
      <c r="C189" s="471" t="s">
        <v>781</v>
      </c>
      <c r="D189" s="507" t="s">
        <v>1912</v>
      </c>
      <c r="E189" s="290" t="s">
        <v>1395</v>
      </c>
      <c r="F189" s="290"/>
      <c r="G189" s="292"/>
      <c r="H189" s="292"/>
      <c r="I189" s="475"/>
      <c r="J189" s="475"/>
      <c r="K189" s="517">
        <v>0.11</v>
      </c>
      <c r="L189" s="477">
        <v>0</v>
      </c>
      <c r="M189" s="477">
        <v>0</v>
      </c>
      <c r="N189" s="498">
        <v>0</v>
      </c>
      <c r="O189" s="499" t="e">
        <v>#VALUE!</v>
      </c>
      <c r="P189" s="309"/>
      <c r="Q189" s="309"/>
      <c r="AA189" s="168"/>
    </row>
    <row r="190" ht="15.75" customHeight="1" outlineLevel="2" spans="2:27">
      <c r="B190" s="470" t="s">
        <v>1913</v>
      </c>
      <c r="C190" s="471" t="s">
        <v>788</v>
      </c>
      <c r="D190" s="507" t="s">
        <v>1914</v>
      </c>
      <c r="E190" s="290" t="s">
        <v>1395</v>
      </c>
      <c r="F190" s="290"/>
      <c r="G190" s="292"/>
      <c r="H190" s="292"/>
      <c r="I190" s="475"/>
      <c r="J190" s="475"/>
      <c r="K190" s="517">
        <v>0.11</v>
      </c>
      <c r="L190" s="477">
        <v>0</v>
      </c>
      <c r="M190" s="477">
        <v>0</v>
      </c>
      <c r="N190" s="498">
        <v>0</v>
      </c>
      <c r="O190" s="499" t="e">
        <v>#VALUE!</v>
      </c>
      <c r="P190" s="309"/>
      <c r="Q190" s="309"/>
      <c r="AA190" s="168"/>
    </row>
    <row r="191" ht="15.75" customHeight="1" outlineLevel="2" spans="2:27">
      <c r="B191" s="470" t="s">
        <v>1915</v>
      </c>
      <c r="C191" s="471" t="s">
        <v>791</v>
      </c>
      <c r="D191" s="507" t="s">
        <v>1916</v>
      </c>
      <c r="E191" s="290" t="s">
        <v>1395</v>
      </c>
      <c r="F191" s="290"/>
      <c r="G191" s="292"/>
      <c r="H191" s="292"/>
      <c r="I191" s="475"/>
      <c r="J191" s="475"/>
      <c r="K191" s="517">
        <v>0.11</v>
      </c>
      <c r="L191" s="477">
        <v>0</v>
      </c>
      <c r="M191" s="477">
        <v>0</v>
      </c>
      <c r="N191" s="498">
        <v>0</v>
      </c>
      <c r="O191" s="499" t="e">
        <v>#VALUE!</v>
      </c>
      <c r="P191" s="309"/>
      <c r="Q191" s="309"/>
      <c r="AA191" s="168"/>
    </row>
    <row r="192" ht="15.75" customHeight="1" outlineLevel="2" spans="2:27">
      <c r="B192" s="470" t="s">
        <v>1917</v>
      </c>
      <c r="C192" s="471" t="s">
        <v>794</v>
      </c>
      <c r="D192" s="507" t="s">
        <v>1700</v>
      </c>
      <c r="E192" s="290" t="s">
        <v>1395</v>
      </c>
      <c r="F192" s="290"/>
      <c r="G192" s="292"/>
      <c r="H192" s="292"/>
      <c r="I192" s="475"/>
      <c r="J192" s="475"/>
      <c r="K192" s="517">
        <v>0.11</v>
      </c>
      <c r="L192" s="477">
        <v>0</v>
      </c>
      <c r="M192" s="477">
        <v>0</v>
      </c>
      <c r="N192" s="498">
        <v>0</v>
      </c>
      <c r="O192" s="499" t="e">
        <v>#VALUE!</v>
      </c>
      <c r="P192" s="309"/>
      <c r="Q192" s="309"/>
      <c r="AA192" s="168"/>
    </row>
    <row r="193" ht="15.75" customHeight="1" outlineLevel="2" spans="2:27">
      <c r="B193" s="470" t="s">
        <v>1918</v>
      </c>
      <c r="C193" s="471" t="s">
        <v>797</v>
      </c>
      <c r="D193" s="507" t="s">
        <v>1919</v>
      </c>
      <c r="E193" s="290" t="s">
        <v>1395</v>
      </c>
      <c r="F193" s="290"/>
      <c r="G193" s="292"/>
      <c r="H193" s="292"/>
      <c r="I193" s="475"/>
      <c r="J193" s="475"/>
      <c r="K193" s="517">
        <v>0.11</v>
      </c>
      <c r="L193" s="477">
        <v>0</v>
      </c>
      <c r="M193" s="477">
        <v>0</v>
      </c>
      <c r="N193" s="498">
        <v>0</v>
      </c>
      <c r="O193" s="499" t="e">
        <v>#VALUE!</v>
      </c>
      <c r="P193" s="309"/>
      <c r="Q193" s="309"/>
      <c r="AA193" s="168"/>
    </row>
    <row r="194" ht="15.75" customHeight="1" outlineLevel="2" spans="2:27">
      <c r="B194" s="470" t="s">
        <v>1920</v>
      </c>
      <c r="C194" s="471" t="s">
        <v>1519</v>
      </c>
      <c r="D194" s="507" t="s">
        <v>1921</v>
      </c>
      <c r="E194" s="290" t="s">
        <v>1395</v>
      </c>
      <c r="F194" s="290"/>
      <c r="G194" s="292"/>
      <c r="H194" s="292"/>
      <c r="I194" s="475"/>
      <c r="J194" s="475"/>
      <c r="K194" s="517">
        <v>0.11</v>
      </c>
      <c r="L194" s="477">
        <v>0</v>
      </c>
      <c r="M194" s="477">
        <v>0</v>
      </c>
      <c r="N194" s="498">
        <v>0</v>
      </c>
      <c r="O194" s="499" t="e">
        <v>#VALUE!</v>
      </c>
      <c r="P194" s="309"/>
      <c r="Q194" s="309"/>
      <c r="AA194" s="168"/>
    </row>
    <row r="195" ht="15.75" customHeight="1" outlineLevel="2" spans="2:27">
      <c r="B195" s="470" t="s">
        <v>1922</v>
      </c>
      <c r="C195" s="471" t="s">
        <v>1520</v>
      </c>
      <c r="D195" s="507" t="s">
        <v>1923</v>
      </c>
      <c r="E195" s="290"/>
      <c r="F195" s="290"/>
      <c r="G195" s="292"/>
      <c r="H195" s="292"/>
      <c r="I195" s="475"/>
      <c r="J195" s="475"/>
      <c r="K195" s="517">
        <v>0.11</v>
      </c>
      <c r="L195" s="477">
        <v>0</v>
      </c>
      <c r="M195" s="477">
        <v>0</v>
      </c>
      <c r="N195" s="498">
        <v>0</v>
      </c>
      <c r="O195" s="499" t="e">
        <v>#VALUE!</v>
      </c>
      <c r="P195" s="309"/>
      <c r="Q195" s="309"/>
      <c r="AA195" s="168"/>
    </row>
    <row r="196" customHeight="1" outlineLevel="1" spans="3:27">
      <c r="C196" s="168"/>
      <c r="E196" s="168"/>
      <c r="F196" s="168"/>
      <c r="G196" s="168"/>
      <c r="H196" s="168"/>
      <c r="I196" s="168"/>
      <c r="J196" s="168"/>
      <c r="K196" s="168"/>
      <c r="N196" s="459" t="s">
        <v>2</v>
      </c>
      <c r="O196" s="554">
        <v>8681.79770633011</v>
      </c>
      <c r="AA196" s="168"/>
    </row>
    <row r="197" customHeight="1" spans="3:27">
      <c r="C197" s="168"/>
      <c r="E197" s="168"/>
      <c r="F197" s="168"/>
      <c r="G197" s="168"/>
      <c r="H197" s="168"/>
      <c r="I197" s="168"/>
      <c r="J197" s="168"/>
      <c r="K197" s="168"/>
      <c r="L197" s="538"/>
      <c r="M197" s="538"/>
      <c r="N197" s="555" t="s">
        <v>1990</v>
      </c>
      <c r="O197" s="40">
        <v>2508.86585004557</v>
      </c>
      <c r="P197" s="40" t="s">
        <v>1991</v>
      </c>
      <c r="Q197" s="40"/>
      <c r="R197" s="236">
        <v>2251.47617358706</v>
      </c>
      <c r="Z197" s="540">
        <v>0</v>
      </c>
      <c r="AA197" s="168"/>
    </row>
    <row r="198" customHeight="1" spans="14:15">
      <c r="N198" s="459" t="s">
        <v>2</v>
      </c>
      <c r="O198" s="556">
        <v>8681.79770633011</v>
      </c>
    </row>
    <row r="199" customHeight="1" spans="14:15">
      <c r="N199" s="555" t="s">
        <v>1992</v>
      </c>
      <c r="O199" s="557">
        <v>0.114320408751399</v>
      </c>
    </row>
    <row r="201" customHeight="1" spans="14:15">
      <c r="N201" s="459" t="s">
        <v>1993</v>
      </c>
      <c r="O201" s="169">
        <v>2990.91770633011</v>
      </c>
    </row>
    <row r="202" customHeight="1" spans="14:15">
      <c r="N202" s="459" t="s">
        <v>1994</v>
      </c>
      <c r="O202" s="169">
        <v>0.344504422643868</v>
      </c>
    </row>
  </sheetData>
  <autoFilter ref="A3:AB199"/>
  <conditionalFormatting sqref="B4:C4">
    <cfRule type="duplicateValues" dxfId="633" priority="101"/>
  </conditionalFormatting>
  <conditionalFormatting sqref="B5:C5">
    <cfRule type="duplicateValues" dxfId="634" priority="100"/>
  </conditionalFormatting>
  <conditionalFormatting sqref="D6">
    <cfRule type="duplicateValues" dxfId="635" priority="105"/>
  </conditionalFormatting>
  <conditionalFormatting sqref="I6">
    <cfRule type="cellIs" dxfId="636" priority="52" operator="equal">
      <formula>0</formula>
    </cfRule>
    <cfRule type="cellIs" priority="51" operator="equal">
      <formula>0</formula>
    </cfRule>
  </conditionalFormatting>
  <conditionalFormatting sqref="I10">
    <cfRule type="cellIs" dxfId="637" priority="50" operator="equal">
      <formula>0</formula>
    </cfRule>
    <cfRule type="cellIs" priority="49" operator="equal">
      <formula>0</formula>
    </cfRule>
  </conditionalFormatting>
  <conditionalFormatting sqref="K12">
    <cfRule type="cellIs" dxfId="638" priority="10" operator="equal">
      <formula>0</formula>
    </cfRule>
    <cfRule type="cellIs" priority="9" operator="equal">
      <formula>0</formula>
    </cfRule>
  </conditionalFormatting>
  <conditionalFormatting sqref="K16">
    <cfRule type="cellIs" dxfId="639" priority="6" operator="equal">
      <formula>0</formula>
    </cfRule>
    <cfRule type="cellIs" priority="5" operator="equal">
      <formula>0</formula>
    </cfRule>
  </conditionalFormatting>
  <conditionalFormatting sqref="D23">
    <cfRule type="duplicateValues" dxfId="640" priority="37"/>
  </conditionalFormatting>
  <conditionalFormatting sqref="I23">
    <cfRule type="cellIs" dxfId="641" priority="34" operator="equal">
      <formula>0</formula>
    </cfRule>
    <cfRule type="cellIs" priority="33" operator="equal">
      <formula>0</formula>
    </cfRule>
  </conditionalFormatting>
  <conditionalFormatting sqref="K23">
    <cfRule type="cellIs" dxfId="642" priority="36" operator="equal">
      <formula>0</formula>
    </cfRule>
    <cfRule type="cellIs" priority="35" operator="equal">
      <formula>0</formula>
    </cfRule>
  </conditionalFormatting>
  <conditionalFormatting sqref="D24">
    <cfRule type="duplicateValues" dxfId="643" priority="42"/>
  </conditionalFormatting>
  <conditionalFormatting sqref="I24">
    <cfRule type="cellIs" dxfId="644" priority="39" operator="equal">
      <formula>0</formula>
    </cfRule>
    <cfRule type="cellIs" priority="38" operator="equal">
      <formula>0</formula>
    </cfRule>
  </conditionalFormatting>
  <conditionalFormatting sqref="K24">
    <cfRule type="cellIs" dxfId="645" priority="41" operator="equal">
      <formula>0</formula>
    </cfRule>
    <cfRule type="cellIs" priority="40" operator="equal">
      <formula>0</formula>
    </cfRule>
  </conditionalFormatting>
  <conditionalFormatting sqref="K31">
    <cfRule type="cellIs" dxfId="646" priority="4" operator="equal">
      <formula>0</formula>
    </cfRule>
    <cfRule type="cellIs" priority="3" operator="equal">
      <formula>0</formula>
    </cfRule>
  </conditionalFormatting>
  <conditionalFormatting sqref="I43">
    <cfRule type="cellIs" dxfId="647" priority="2" operator="equal">
      <formula>0</formula>
    </cfRule>
    <cfRule type="cellIs" priority="1" operator="equal">
      <formula>0</formula>
    </cfRule>
  </conditionalFormatting>
  <conditionalFormatting sqref="I46">
    <cfRule type="cellIs" dxfId="648" priority="98" operator="equal">
      <formula>0</formula>
    </cfRule>
    <cfRule type="cellIs" priority="97" operator="equal">
      <formula>0</formula>
    </cfRule>
  </conditionalFormatting>
  <conditionalFormatting sqref="I52">
    <cfRule type="cellIs" dxfId="649" priority="96" operator="equal">
      <formula>0</formula>
    </cfRule>
    <cfRule type="cellIs" priority="95" operator="equal">
      <formula>0</formula>
    </cfRule>
  </conditionalFormatting>
  <conditionalFormatting sqref="I53">
    <cfRule type="cellIs" dxfId="650" priority="70" operator="equal">
      <formula>0</formula>
    </cfRule>
    <cfRule type="cellIs" priority="69" operator="equal">
      <formula>0</formula>
    </cfRule>
  </conditionalFormatting>
  <conditionalFormatting sqref="I54">
    <cfRule type="cellIs" dxfId="651" priority="94" operator="equal">
      <formula>0</formula>
    </cfRule>
    <cfRule type="cellIs" priority="93" operator="equal">
      <formula>0</formula>
    </cfRule>
  </conditionalFormatting>
  <conditionalFormatting sqref="I56">
    <cfRule type="cellIs" dxfId="652" priority="90" operator="equal">
      <formula>0</formula>
    </cfRule>
    <cfRule type="cellIs" priority="89" operator="equal">
      <formula>0</formula>
    </cfRule>
  </conditionalFormatting>
  <conditionalFormatting sqref="I57">
    <cfRule type="cellIs" dxfId="653" priority="92" operator="equal">
      <formula>0</formula>
    </cfRule>
    <cfRule type="cellIs" priority="91" operator="equal">
      <formula>0</formula>
    </cfRule>
  </conditionalFormatting>
  <conditionalFormatting sqref="I59">
    <cfRule type="cellIs" dxfId="654" priority="68" operator="equal">
      <formula>0</formula>
    </cfRule>
    <cfRule type="cellIs" priority="67" operator="equal">
      <formula>0</formula>
    </cfRule>
  </conditionalFormatting>
  <conditionalFormatting sqref="I62">
    <cfRule type="cellIs" dxfId="655" priority="88" operator="equal">
      <formula>0</formula>
    </cfRule>
    <cfRule type="cellIs" priority="87" operator="equal">
      <formula>0</formula>
    </cfRule>
  </conditionalFormatting>
  <conditionalFormatting sqref="I63">
    <cfRule type="cellIs" dxfId="656" priority="66" operator="equal">
      <formula>0</formula>
    </cfRule>
    <cfRule type="cellIs" priority="65" operator="equal">
      <formula>0</formula>
    </cfRule>
  </conditionalFormatting>
  <conditionalFormatting sqref="I64">
    <cfRule type="cellIs" dxfId="657" priority="64" operator="equal">
      <formula>0</formula>
    </cfRule>
    <cfRule type="cellIs" priority="63" operator="equal">
      <formula>0</formula>
    </cfRule>
  </conditionalFormatting>
  <conditionalFormatting sqref="B65:C65">
    <cfRule type="duplicateValues" dxfId="658" priority="99"/>
  </conditionalFormatting>
  <conditionalFormatting sqref="I67">
    <cfRule type="cellIs" dxfId="659" priority="62" operator="equal">
      <formula>0</formula>
    </cfRule>
    <cfRule type="cellIs" priority="61" operator="equal">
      <formula>0</formula>
    </cfRule>
  </conditionalFormatting>
  <conditionalFormatting sqref="I75">
    <cfRule type="cellIs" dxfId="660" priority="60" operator="equal">
      <formula>0</formula>
    </cfRule>
    <cfRule type="cellIs" priority="59" operator="equal">
      <formula>0</formula>
    </cfRule>
  </conditionalFormatting>
  <conditionalFormatting sqref="I80">
    <cfRule type="cellIs" dxfId="661" priority="58" operator="equal">
      <formula>0</formula>
    </cfRule>
    <cfRule type="cellIs" priority="57" operator="equal">
      <formula>0</formula>
    </cfRule>
  </conditionalFormatting>
  <conditionalFormatting sqref="I81">
    <cfRule type="cellIs" dxfId="662" priority="20" operator="equal">
      <formula>0</formula>
    </cfRule>
    <cfRule type="cellIs" priority="19" operator="equal">
      <formula>0</formula>
    </cfRule>
  </conditionalFormatting>
  <conditionalFormatting sqref="I85">
    <cfRule type="cellIs" dxfId="663" priority="86" operator="equal">
      <formula>0</formula>
    </cfRule>
    <cfRule type="cellIs" priority="85" operator="equal">
      <formula>0</formula>
    </cfRule>
  </conditionalFormatting>
  <conditionalFormatting sqref="I86">
    <cfRule type="cellIs" dxfId="664" priority="56" operator="equal">
      <formula>0</formula>
    </cfRule>
    <cfRule type="cellIs" priority="55" operator="equal">
      <formula>0</formula>
    </cfRule>
  </conditionalFormatting>
  <conditionalFormatting sqref="I87">
    <cfRule type="cellIs" dxfId="665" priority="54" operator="equal">
      <formula>0</formula>
    </cfRule>
    <cfRule type="cellIs" priority="53" operator="equal">
      <formula>0</formula>
    </cfRule>
  </conditionalFormatting>
  <conditionalFormatting sqref="I88">
    <cfRule type="cellIs" dxfId="666" priority="18" operator="equal">
      <formula>0</formula>
    </cfRule>
    <cfRule type="cellIs" priority="17" operator="equal">
      <formula>0</formula>
    </cfRule>
  </conditionalFormatting>
  <conditionalFormatting sqref="B91:C91">
    <cfRule type="duplicateValues" dxfId="667" priority="173"/>
  </conditionalFormatting>
  <conditionalFormatting sqref="B92:C92">
    <cfRule type="duplicateValues" dxfId="668" priority="172"/>
  </conditionalFormatting>
  <conditionalFormatting sqref="M93">
    <cfRule type="cellIs" dxfId="669" priority="128" operator="equal">
      <formula>0</formula>
    </cfRule>
    <cfRule type="cellIs" priority="127" operator="equal">
      <formula>0</formula>
    </cfRule>
  </conditionalFormatting>
  <conditionalFormatting sqref="E107">
    <cfRule type="duplicateValues" dxfId="670" priority="132"/>
  </conditionalFormatting>
  <conditionalFormatting sqref="E108">
    <cfRule type="duplicateValues" dxfId="671" priority="131"/>
  </conditionalFormatting>
  <conditionalFormatting sqref="B109:C109">
    <cfRule type="duplicateValues" dxfId="672" priority="171"/>
  </conditionalFormatting>
  <conditionalFormatting sqref="E114">
    <cfRule type="duplicateValues" dxfId="673" priority="110"/>
  </conditionalFormatting>
  <conditionalFormatting sqref="M114">
    <cfRule type="cellIs" dxfId="674" priority="109" operator="equal">
      <formula>0</formula>
    </cfRule>
    <cfRule type="cellIs" priority="108" operator="equal">
      <formula>0</formula>
    </cfRule>
  </conditionalFormatting>
  <conditionalFormatting sqref="E115">
    <cfRule type="duplicateValues" dxfId="675" priority="111"/>
  </conditionalFormatting>
  <conditionalFormatting sqref="M115">
    <cfRule type="cellIs" dxfId="676" priority="107" operator="equal">
      <formula>0</formula>
    </cfRule>
    <cfRule type="cellIs" priority="106" operator="equal">
      <formula>0</formula>
    </cfRule>
  </conditionalFormatting>
  <conditionalFormatting sqref="B117:C117">
    <cfRule type="duplicateValues" dxfId="677" priority="169"/>
  </conditionalFormatting>
  <conditionalFormatting sqref="B118:C118">
    <cfRule type="duplicateValues" dxfId="678" priority="168"/>
  </conditionalFormatting>
  <conditionalFormatting sqref="I142">
    <cfRule type="cellIs" dxfId="679" priority="164" operator="equal">
      <formula>0</formula>
    </cfRule>
    <cfRule type="cellIs" priority="163" operator="equal">
      <formula>0</formula>
    </cfRule>
  </conditionalFormatting>
  <conditionalFormatting sqref="I144">
    <cfRule type="cellIs" dxfId="680" priority="14" operator="equal">
      <formula>0</formula>
    </cfRule>
    <cfRule type="cellIs" priority="13" operator="equal">
      <formula>0</formula>
    </cfRule>
  </conditionalFormatting>
  <conditionalFormatting sqref="B146:C146">
    <cfRule type="duplicateValues" dxfId="681" priority="167"/>
  </conditionalFormatting>
  <conditionalFormatting sqref="D152">
    <cfRule type="duplicateValues" dxfId="682" priority="27"/>
  </conditionalFormatting>
  <conditionalFormatting sqref="I152">
    <cfRule type="cellIs" dxfId="683" priority="26" operator="equal">
      <formula>0</formula>
    </cfRule>
    <cfRule type="cellIs" priority="25" operator="equal">
      <formula>0</formula>
    </cfRule>
  </conditionalFormatting>
  <conditionalFormatting sqref="B172:C172">
    <cfRule type="duplicateValues" dxfId="684" priority="166"/>
  </conditionalFormatting>
  <conditionalFormatting sqref="I174">
    <cfRule type="cellIs" dxfId="685" priority="162" operator="equal">
      <formula>0</formula>
    </cfRule>
    <cfRule type="cellIs" priority="161" operator="equal">
      <formula>0</formula>
    </cfRule>
  </conditionalFormatting>
  <conditionalFormatting sqref="I176">
    <cfRule type="cellIs" dxfId="686" priority="12" operator="equal">
      <formula>0</formula>
    </cfRule>
    <cfRule type="cellIs" priority="11" operator="equal">
      <formula>0</formula>
    </cfRule>
  </conditionalFormatting>
  <conditionalFormatting sqref="B184:C184">
    <cfRule type="duplicateValues" dxfId="687" priority="165"/>
  </conditionalFormatting>
  <conditionalFormatting sqref="I185">
    <cfRule type="cellIs" dxfId="688" priority="157" operator="equal">
      <formula>0</formula>
    </cfRule>
    <cfRule type="cellIs" priority="156" operator="equal">
      <formula>0</formula>
    </cfRule>
  </conditionalFormatting>
  <conditionalFormatting sqref="D189">
    <cfRule type="duplicateValues" dxfId="689" priority="149"/>
  </conditionalFormatting>
  <conditionalFormatting sqref="I189">
    <cfRule type="cellIs" dxfId="690" priority="148" operator="equal">
      <formula>0</formula>
    </cfRule>
    <cfRule type="cellIs" priority="147" operator="equal">
      <formula>0</formula>
    </cfRule>
  </conditionalFormatting>
  <conditionalFormatting sqref="D190">
    <cfRule type="duplicateValues" dxfId="691" priority="140"/>
  </conditionalFormatting>
  <conditionalFormatting sqref="I190">
    <cfRule type="cellIs" dxfId="692" priority="139" operator="equal">
      <formula>0</formula>
    </cfRule>
    <cfRule type="cellIs" priority="138" operator="equal">
      <formula>0</formula>
    </cfRule>
  </conditionalFormatting>
  <conditionalFormatting sqref="D191">
    <cfRule type="duplicateValues" dxfId="693" priority="143"/>
  </conditionalFormatting>
  <conditionalFormatting sqref="I191">
    <cfRule type="cellIs" dxfId="694" priority="142" operator="equal">
      <formula>0</formula>
    </cfRule>
    <cfRule type="cellIs" priority="141" operator="equal">
      <formula>0</formula>
    </cfRule>
  </conditionalFormatting>
  <conditionalFormatting sqref="D192">
    <cfRule type="duplicateValues" dxfId="695" priority="146"/>
  </conditionalFormatting>
  <conditionalFormatting sqref="I192">
    <cfRule type="cellIs" dxfId="696" priority="145" operator="equal">
      <formula>0</formula>
    </cfRule>
    <cfRule type="cellIs" priority="144" operator="equal">
      <formula>0</formula>
    </cfRule>
  </conditionalFormatting>
  <conditionalFormatting sqref="D193">
    <cfRule type="duplicateValues" dxfId="697" priority="152"/>
  </conditionalFormatting>
  <conditionalFormatting sqref="I193">
    <cfRule type="cellIs" dxfId="698" priority="151" operator="equal">
      <formula>0</formula>
    </cfRule>
    <cfRule type="cellIs" priority="150" operator="equal">
      <formula>0</formula>
    </cfRule>
  </conditionalFormatting>
  <conditionalFormatting sqref="D194">
    <cfRule type="duplicateValues" dxfId="699" priority="155"/>
  </conditionalFormatting>
  <conditionalFormatting sqref="I194">
    <cfRule type="cellIs" dxfId="700" priority="154" operator="equal">
      <formula>0</formula>
    </cfRule>
    <cfRule type="cellIs" priority="153" operator="equal">
      <formula>0</formula>
    </cfRule>
  </conditionalFormatting>
  <conditionalFormatting sqref="B114:B115">
    <cfRule type="duplicateValues" dxfId="701" priority="113"/>
  </conditionalFormatting>
  <conditionalFormatting sqref="D7:D8">
    <cfRule type="duplicateValues" dxfId="702" priority="32"/>
  </conditionalFormatting>
  <conditionalFormatting sqref="D93:D108">
    <cfRule type="duplicateValues" dxfId="703" priority="133"/>
  </conditionalFormatting>
  <conditionalFormatting sqref="D110:D112">
    <cfRule type="duplicateValues" dxfId="704" priority="122"/>
  </conditionalFormatting>
  <conditionalFormatting sqref="D114:D115">
    <cfRule type="duplicateValues" dxfId="705" priority="112"/>
  </conditionalFormatting>
  <conditionalFormatting sqref="I7:I8">
    <cfRule type="cellIs" dxfId="706" priority="29" operator="equal">
      <formula>0</formula>
    </cfRule>
    <cfRule type="cellIs" priority="28" operator="equal">
      <formula>0</formula>
    </cfRule>
  </conditionalFormatting>
  <conditionalFormatting sqref="I11:I13">
    <cfRule type="cellIs" dxfId="707" priority="46" operator="equal">
      <formula>0</formula>
    </cfRule>
    <cfRule type="cellIs" priority="45" operator="equal">
      <formula>0</formula>
    </cfRule>
  </conditionalFormatting>
  <conditionalFormatting sqref="I26:I29">
    <cfRule type="cellIs" dxfId="708" priority="82" operator="equal">
      <formula>0</formula>
    </cfRule>
    <cfRule type="cellIs" priority="81" operator="equal">
      <formula>0</formula>
    </cfRule>
  </conditionalFormatting>
  <conditionalFormatting sqref="I30:I32">
    <cfRule type="cellIs" dxfId="709" priority="80" operator="equal">
      <formula>0</formula>
    </cfRule>
    <cfRule type="cellIs" priority="79" operator="equal">
      <formula>0</formula>
    </cfRule>
  </conditionalFormatting>
  <conditionalFormatting sqref="I34:I35">
    <cfRule type="cellIs" dxfId="710" priority="78" operator="equal">
      <formula>0</formula>
    </cfRule>
    <cfRule type="cellIs" priority="77" operator="equal">
      <formula>0</formula>
    </cfRule>
  </conditionalFormatting>
  <conditionalFormatting sqref="I37:I41">
    <cfRule type="cellIs" dxfId="711" priority="76" operator="equal">
      <formula>0</formula>
    </cfRule>
    <cfRule type="cellIs" priority="75" operator="equal">
      <formula>0</formula>
    </cfRule>
  </conditionalFormatting>
  <conditionalFormatting sqref="I44:I45">
    <cfRule type="cellIs" dxfId="712" priority="74" operator="equal">
      <formula>0</formula>
    </cfRule>
    <cfRule type="cellIs" priority="73" operator="equal">
      <formula>0</formula>
    </cfRule>
  </conditionalFormatting>
  <conditionalFormatting sqref="I47:I51">
    <cfRule type="cellIs" dxfId="713" priority="72" operator="equal">
      <formula>0</formula>
    </cfRule>
    <cfRule type="cellIs" priority="71" operator="equal">
      <formula>0</formula>
    </cfRule>
  </conditionalFormatting>
  <conditionalFormatting sqref="I69:I70">
    <cfRule type="cellIs" dxfId="714" priority="24" operator="equal">
      <formula>0</formula>
    </cfRule>
    <cfRule type="cellIs" priority="23" operator="equal">
      <formula>0</formula>
    </cfRule>
  </conditionalFormatting>
  <conditionalFormatting sqref="I76:I78">
    <cfRule type="cellIs" dxfId="715" priority="22" operator="equal">
      <formula>0</formula>
    </cfRule>
    <cfRule type="cellIs" priority="21" operator="equal">
      <formula>0</formula>
    </cfRule>
  </conditionalFormatting>
  <conditionalFormatting sqref="I93:I108">
    <cfRule type="cellIs" dxfId="716" priority="135" operator="equal">
      <formula>0</formula>
    </cfRule>
    <cfRule type="cellIs" priority="134" operator="equal">
      <formula>0</formula>
    </cfRule>
  </conditionalFormatting>
  <conditionalFormatting sqref="I110:I112">
    <cfRule type="cellIs" dxfId="717" priority="119" operator="equal">
      <formula>0</formula>
    </cfRule>
    <cfRule type="cellIs" priority="118" operator="equal">
      <formula>0</formula>
    </cfRule>
  </conditionalFormatting>
  <conditionalFormatting sqref="J93:J108">
    <cfRule type="cellIs" dxfId="718" priority="130" operator="equal">
      <formula>0</formula>
    </cfRule>
    <cfRule type="cellIs" priority="129" operator="equal">
      <formula>0</formula>
    </cfRule>
  </conditionalFormatting>
  <conditionalFormatting sqref="J110:J112">
    <cfRule type="cellIs" dxfId="719" priority="124" operator="equal">
      <formula>0</formula>
    </cfRule>
    <cfRule type="cellIs" priority="123" operator="equal">
      <formula>0</formula>
    </cfRule>
  </conditionalFormatting>
  <conditionalFormatting sqref="K7:K8">
    <cfRule type="cellIs" dxfId="720" priority="31" operator="equal">
      <formula>0</formula>
    </cfRule>
    <cfRule type="cellIs" priority="30" operator="equal">
      <formula>0</formula>
    </cfRule>
  </conditionalFormatting>
  <conditionalFormatting sqref="K93:K108">
    <cfRule type="cellIs" dxfId="721" priority="137" operator="equal">
      <formula>0</formula>
    </cfRule>
    <cfRule type="cellIs" priority="136" operator="equal">
      <formula>0</formula>
    </cfRule>
  </conditionalFormatting>
  <conditionalFormatting sqref="K110:K112">
    <cfRule type="cellIs" dxfId="722" priority="121" operator="equal">
      <formula>0</formula>
    </cfRule>
    <cfRule type="cellIs" priority="120" operator="equal">
      <formula>0</formula>
    </cfRule>
  </conditionalFormatting>
  <conditionalFormatting sqref="M94:M108">
    <cfRule type="cellIs" dxfId="723" priority="126" operator="equal">
      <formula>0</formula>
    </cfRule>
    <cfRule type="cellIs" priority="125" operator="equal">
      <formula>0</formula>
    </cfRule>
  </conditionalFormatting>
  <conditionalFormatting sqref="M110:M112">
    <cfRule type="cellIs" dxfId="724" priority="117" operator="equal">
      <formula>0</formula>
    </cfRule>
    <cfRule type="cellIs" priority="116" operator="equal">
      <formula>0</formula>
    </cfRule>
  </conditionalFormatting>
  <conditionalFormatting sqref="D196:D1048576 D1:D3 D91:D92 D109 D113 D116:D151 D153:D184">
    <cfRule type="duplicateValues" dxfId="725" priority="176"/>
  </conditionalFormatting>
  <conditionalFormatting sqref="D4:D5 D25:D90 D9:D22">
    <cfRule type="duplicateValues" dxfId="726" priority="104"/>
  </conditionalFormatting>
  <conditionalFormatting sqref="I60:I61 I4:I5 I33 I42 I55 I58 I65:I66 I82:I84 I79 I68 I89:I90 I36 I9 I14 K4:K6 K14 K18:K22 I18:I19 K25:K30 K9:K10 I71:I74 K32:K90">
    <cfRule type="cellIs" dxfId="727" priority="103" operator="equal">
      <formula>0</formula>
    </cfRule>
  </conditionalFormatting>
  <conditionalFormatting sqref="I60:I61 I33 I42 I55 I58 I65:I66 I82:I84 I79 I68 I89:I90 I36 I9 I14 K6 K14 K18:K22 I18:I19 K25:K30 K9:K10 I71:I74 K32:K90">
    <cfRule type="cellIs" priority="102" operator="equal">
      <formula>0</formula>
    </cfRule>
  </conditionalFormatting>
  <conditionalFormatting sqref="K11 K13">
    <cfRule type="cellIs" dxfId="728" priority="48" operator="equal">
      <formula>0</formula>
    </cfRule>
    <cfRule type="cellIs" priority="47" operator="equal">
      <formula>0</formula>
    </cfRule>
  </conditionalFormatting>
  <conditionalFormatting sqref="I15:I17 K15 K17">
    <cfRule type="cellIs" dxfId="729" priority="44" operator="equal">
      <formula>0</formula>
    </cfRule>
    <cfRule type="cellIs" priority="43" operator="equal">
      <formula>0</formula>
    </cfRule>
  </conditionalFormatting>
  <conditionalFormatting sqref="I20:I22 I25">
    <cfRule type="cellIs" dxfId="730" priority="84" operator="equal">
      <formula>0</formula>
    </cfRule>
    <cfRule type="cellIs" priority="83" operator="equal">
      <formula>0</formula>
    </cfRule>
  </conditionalFormatting>
  <conditionalFormatting sqref="I175 I143 I196:I1048576 I116:I141 J115:K116 I113:K113 I109:K109 J184:K1048576 I91:K92 I153:I173 I145:I151 I177:I184">
    <cfRule type="cellIs" dxfId="731" priority="175" operator="equal">
      <formula>0</formula>
    </cfRule>
  </conditionalFormatting>
  <conditionalFormatting sqref="I175 I143 I116:I141 J115:K116 I113:K113 I109:K109 J184:K195 I91:K92 I153:I173 I145:I151 I177:I184">
    <cfRule type="cellIs" priority="174" operator="equal">
      <formula>0</formula>
    </cfRule>
  </conditionalFormatting>
  <conditionalFormatting sqref="B113:C113 B116:C116">
    <cfRule type="duplicateValues" dxfId="732" priority="170"/>
  </conditionalFormatting>
  <conditionalFormatting sqref="I114:I115 K114">
    <cfRule type="cellIs" dxfId="733" priority="115" operator="equal">
      <formula>0</formula>
    </cfRule>
    <cfRule type="cellIs" priority="114" operator="equal">
      <formula>0</formula>
    </cfRule>
  </conditionalFormatting>
  <conditionalFormatting sqref="D195 D185:D188">
    <cfRule type="duplicateValues" dxfId="734" priority="160"/>
  </conditionalFormatting>
  <conditionalFormatting sqref="I186:I188 I195">
    <cfRule type="cellIs" dxfId="735" priority="159" operator="equal">
      <formula>0</formula>
    </cfRule>
    <cfRule type="cellIs" priority="158" operator="equal">
      <formula>0</formula>
    </cfRule>
  </conditionalFormatting>
  <printOptions horizontalCentered="1"/>
  <pageMargins left="0" right="0" top="0.590277777777778" bottom="0.786805555555556" header="0.118055555555556" footer="0.118055555555556"/>
  <pageSetup paperSize="9" scale="86" orientation="portrait" horizontalDpi="300" verticalDpi="300"/>
  <headerFooter alignWithMargins="0"/>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outlinePr summaryBelow="0" summaryRight="0"/>
  </sheetPr>
  <dimension ref="A1:Z199"/>
  <sheetViews>
    <sheetView workbookViewId="0">
      <pane xSplit="4" ySplit="3" topLeftCell="F4" activePane="bottomRight" state="frozen"/>
      <selection/>
      <selection pane="topRight"/>
      <selection pane="bottomLeft"/>
      <selection pane="bottomRight" activeCell="J192" sqref="J192"/>
    </sheetView>
  </sheetViews>
  <sheetFormatPr defaultColWidth="9" defaultRowHeight="24" customHeight="1"/>
  <cols>
    <col min="1" max="1" width="3.4" style="168" customWidth="1"/>
    <col min="2" max="2" width="17.6" style="168" customWidth="1"/>
    <col min="3" max="3" width="5.1" style="166" customWidth="1"/>
    <col min="4" max="4" width="29.5" style="168" customWidth="1"/>
    <col min="5" max="5" width="20.9" style="166" customWidth="1"/>
    <col min="6" max="6" width="17.9" style="166" customWidth="1"/>
    <col min="7" max="7" width="8.4" style="166" customWidth="1"/>
    <col min="8" max="8" width="7.4" style="166" customWidth="1"/>
    <col min="9" max="11" width="9" style="458" customWidth="1"/>
    <col min="12" max="12" width="9.4" style="166" customWidth="1"/>
    <col min="13" max="13" width="9.5" style="166" customWidth="1"/>
    <col min="14" max="14" width="9.6" style="459" customWidth="1"/>
    <col min="15" max="15" width="9" style="169" customWidth="1"/>
    <col min="16" max="16" width="9.4" style="169" customWidth="1"/>
    <col min="17" max="17" width="9" style="168" customWidth="1"/>
    <col min="18" max="18" width="12.4" style="168" customWidth="1"/>
    <col min="19" max="19" width="20.6" style="168" customWidth="1"/>
    <col min="20" max="20" width="9.4" style="168" customWidth="1"/>
    <col min="21" max="21" width="26.6" style="168" customWidth="1"/>
    <col min="22" max="24" width="9.1" style="168" hidden="1" customWidth="1"/>
    <col min="25" max="25" width="9.1" style="168" customWidth="1"/>
    <col min="26" max="26" width="9.1" style="460" customWidth="1"/>
    <col min="27" max="27" width="9.1" style="168" customWidth="1"/>
    <col min="28" max="16384" width="9" style="168"/>
  </cols>
  <sheetData>
    <row r="1" s="456" customFormat="1" ht="21.75" customHeight="1" spans="3:26">
      <c r="C1" s="461"/>
      <c r="D1" s="462" t="s">
        <v>1995</v>
      </c>
      <c r="E1" s="375" t="s">
        <v>505</v>
      </c>
      <c r="F1" s="375" t="s">
        <v>603</v>
      </c>
      <c r="G1" s="375" t="s">
        <v>862</v>
      </c>
      <c r="H1" s="375" t="s">
        <v>601</v>
      </c>
      <c r="I1" s="375" t="s">
        <v>602</v>
      </c>
      <c r="J1" s="375" t="s">
        <v>1252</v>
      </c>
      <c r="M1" s="481"/>
      <c r="N1" s="482"/>
      <c r="O1" s="482"/>
      <c r="P1" s="483"/>
      <c r="T1" s="456">
        <v>418</v>
      </c>
      <c r="Z1" s="501"/>
    </row>
    <row r="2" s="456" customFormat="1" ht="17.25" customHeight="1" spans="3:26">
      <c r="C2" s="461"/>
      <c r="D2" s="462" t="s">
        <v>1524</v>
      </c>
      <c r="E2" s="463">
        <v>5000</v>
      </c>
      <c r="F2" s="464">
        <v>0</v>
      </c>
      <c r="G2" s="465">
        <v>200</v>
      </c>
      <c r="H2" s="465">
        <v>0</v>
      </c>
      <c r="I2" s="465">
        <v>0</v>
      </c>
      <c r="J2" s="465">
        <v>0</v>
      </c>
      <c r="M2" s="481"/>
      <c r="N2" s="484"/>
      <c r="O2" s="484"/>
      <c r="P2" s="483"/>
      <c r="Z2" s="501"/>
    </row>
    <row r="3" s="166" customFormat="1" customHeight="1" spans="2:16">
      <c r="B3" s="466" t="s">
        <v>21</v>
      </c>
      <c r="C3" s="466"/>
      <c r="D3" s="466" t="s">
        <v>494</v>
      </c>
      <c r="E3" s="467" t="s">
        <v>605</v>
      </c>
      <c r="F3" s="467" t="s">
        <v>606</v>
      </c>
      <c r="G3" s="467" t="s">
        <v>607</v>
      </c>
      <c r="H3" s="467" t="s">
        <v>608</v>
      </c>
      <c r="I3" s="467" t="s">
        <v>1525</v>
      </c>
      <c r="J3" s="485" t="s">
        <v>610</v>
      </c>
      <c r="K3" s="486" t="s">
        <v>611</v>
      </c>
      <c r="L3" s="485" t="s">
        <v>612</v>
      </c>
      <c r="M3" s="485" t="s">
        <v>613</v>
      </c>
      <c r="N3" s="52" t="s">
        <v>614</v>
      </c>
      <c r="O3" s="487" t="s">
        <v>1526</v>
      </c>
      <c r="P3" s="466" t="s">
        <v>1300</v>
      </c>
    </row>
    <row r="4" ht="16.5" customHeight="1" spans="2:26">
      <c r="B4" s="468" t="s">
        <v>875</v>
      </c>
      <c r="C4" s="469" t="s">
        <v>533</v>
      </c>
      <c r="D4" s="468" t="s">
        <v>481</v>
      </c>
      <c r="E4" s="192"/>
      <c r="F4" s="192"/>
      <c r="G4" s="192"/>
      <c r="H4" s="192"/>
      <c r="I4" s="488"/>
      <c r="J4" s="192"/>
      <c r="K4" s="489"/>
      <c r="L4" s="192"/>
      <c r="M4" s="192"/>
      <c r="N4" s="490">
        <f>N5+N62</f>
        <v>821.469235027447</v>
      </c>
      <c r="O4" s="491">
        <f t="shared" ref="O4:O10" si="0">IF(N4="","",N4*10000/E$2)</f>
        <v>1642.93847005489</v>
      </c>
      <c r="P4" s="230"/>
      <c r="Z4" s="168"/>
    </row>
    <row r="5" ht="16.5" customHeight="1" outlineLevel="1" spans="2:26">
      <c r="B5" s="121" t="s">
        <v>534</v>
      </c>
      <c r="C5" s="193">
        <v>1</v>
      </c>
      <c r="D5" s="121" t="s">
        <v>1527</v>
      </c>
      <c r="E5" s="193"/>
      <c r="F5" s="193"/>
      <c r="G5" s="193"/>
      <c r="H5" s="155"/>
      <c r="I5" s="492"/>
      <c r="J5" s="155"/>
      <c r="K5" s="493"/>
      <c r="L5" s="494">
        <f t="shared" ref="L5:N5" si="1">L6+L9</f>
        <v>665.67</v>
      </c>
      <c r="M5" s="494">
        <f t="shared" si="1"/>
        <v>75.4113</v>
      </c>
      <c r="N5" s="494">
        <f t="shared" si="1"/>
        <v>741.0813</v>
      </c>
      <c r="O5" s="495">
        <f t="shared" si="0"/>
        <v>1482.1626</v>
      </c>
      <c r="P5" s="233"/>
      <c r="Z5" s="168"/>
    </row>
    <row r="6" ht="16.5" customHeight="1" outlineLevel="2" spans="2:26">
      <c r="B6" s="470" t="s">
        <v>1528</v>
      </c>
      <c r="C6" s="471" t="s">
        <v>619</v>
      </c>
      <c r="D6" s="470" t="s">
        <v>1529</v>
      </c>
      <c r="E6" s="95" t="s">
        <v>774</v>
      </c>
      <c r="F6" s="95"/>
      <c r="G6" s="236"/>
      <c r="H6" s="472"/>
      <c r="I6" s="144"/>
      <c r="J6" s="496"/>
      <c r="K6" s="497"/>
      <c r="L6" s="498">
        <f t="shared" ref="L6:N6" si="2">L7+L8</f>
        <v>0</v>
      </c>
      <c r="M6" s="498">
        <f t="shared" si="2"/>
        <v>0</v>
      </c>
      <c r="N6" s="498">
        <f t="shared" si="2"/>
        <v>0</v>
      </c>
      <c r="O6" s="499">
        <f t="shared" si="0"/>
        <v>0</v>
      </c>
      <c r="P6" s="309"/>
      <c r="Z6" s="168"/>
    </row>
    <row r="7" ht="16.5" customHeight="1" outlineLevel="2" spans="2:26">
      <c r="B7" s="470" t="s">
        <v>1530</v>
      </c>
      <c r="C7" s="473" t="s">
        <v>622</v>
      </c>
      <c r="D7" s="474" t="s">
        <v>1531</v>
      </c>
      <c r="E7" s="95"/>
      <c r="F7" s="95"/>
      <c r="G7" s="236">
        <v>2</v>
      </c>
      <c r="H7" s="472" t="s">
        <v>827</v>
      </c>
      <c r="I7" s="144">
        <v>3000</v>
      </c>
      <c r="J7" s="496"/>
      <c r="K7" s="497">
        <v>0.11</v>
      </c>
      <c r="L7" s="496">
        <f t="shared" ref="L7:L12" si="3">J7*I7*G7/10000</f>
        <v>0</v>
      </c>
      <c r="M7" s="496">
        <f t="shared" ref="M7:M12" si="4">L7*K7</f>
        <v>0</v>
      </c>
      <c r="N7" s="498">
        <f t="shared" ref="N7:N12" si="5">M7+L7</f>
        <v>0</v>
      </c>
      <c r="O7" s="499">
        <f t="shared" si="0"/>
        <v>0</v>
      </c>
      <c r="P7" s="309"/>
      <c r="Z7" s="168"/>
    </row>
    <row r="8" ht="16.5" customHeight="1" outlineLevel="2" spans="2:26">
      <c r="B8" s="470" t="s">
        <v>1532</v>
      </c>
      <c r="C8" s="473" t="s">
        <v>622</v>
      </c>
      <c r="D8" s="474" t="s">
        <v>1533</v>
      </c>
      <c r="E8" s="95"/>
      <c r="F8" s="95"/>
      <c r="G8" s="236">
        <v>2</v>
      </c>
      <c r="H8" s="472" t="s">
        <v>827</v>
      </c>
      <c r="I8" s="144">
        <v>6000</v>
      </c>
      <c r="J8" s="496"/>
      <c r="K8" s="497">
        <v>0.11</v>
      </c>
      <c r="L8" s="496">
        <f t="shared" si="3"/>
        <v>0</v>
      </c>
      <c r="M8" s="496">
        <f t="shared" si="4"/>
        <v>0</v>
      </c>
      <c r="N8" s="498">
        <f t="shared" si="5"/>
        <v>0</v>
      </c>
      <c r="O8" s="499">
        <f t="shared" si="0"/>
        <v>0</v>
      </c>
      <c r="P8" s="309"/>
      <c r="Z8" s="168"/>
    </row>
    <row r="9" ht="16.5" customHeight="1" outlineLevel="2" spans="2:26">
      <c r="B9" s="470" t="s">
        <v>1534</v>
      </c>
      <c r="C9" s="471" t="s">
        <v>657</v>
      </c>
      <c r="D9" s="470" t="s">
        <v>535</v>
      </c>
      <c r="E9" s="95"/>
      <c r="F9" s="95"/>
      <c r="G9" s="236"/>
      <c r="H9" s="236"/>
      <c r="I9" s="144"/>
      <c r="J9" s="500"/>
      <c r="K9" s="497"/>
      <c r="L9" s="498">
        <f t="shared" ref="L9:N9" si="6">L10+L13+L16+L17+L20+L23+L29+L30+L33+L39+L43+L49+L52+L55+L56+L57+L58</f>
        <v>665.67</v>
      </c>
      <c r="M9" s="498">
        <f t="shared" si="6"/>
        <v>75.4113</v>
      </c>
      <c r="N9" s="498">
        <f t="shared" si="6"/>
        <v>741.0813</v>
      </c>
      <c r="O9" s="499">
        <f t="shared" si="0"/>
        <v>1482.1626</v>
      </c>
      <c r="P9" s="309"/>
      <c r="Z9" s="168"/>
    </row>
    <row r="10" ht="16.5" customHeight="1" outlineLevel="3" spans="2:26">
      <c r="B10" s="470" t="s">
        <v>1535</v>
      </c>
      <c r="C10" s="473" t="s">
        <v>622</v>
      </c>
      <c r="D10" s="470" t="s">
        <v>1536</v>
      </c>
      <c r="E10" s="290" t="s">
        <v>774</v>
      </c>
      <c r="F10" s="290" t="s">
        <v>1537</v>
      </c>
      <c r="G10" s="475"/>
      <c r="H10" s="292"/>
      <c r="I10" s="475"/>
      <c r="J10" s="500"/>
      <c r="K10" s="497"/>
      <c r="L10" s="498">
        <f t="shared" ref="L10:N10" si="7">L11+L12</f>
        <v>90</v>
      </c>
      <c r="M10" s="498">
        <f t="shared" si="7"/>
        <v>9.9</v>
      </c>
      <c r="N10" s="498">
        <f t="shared" si="7"/>
        <v>99.9</v>
      </c>
      <c r="O10" s="499">
        <f t="shared" si="0"/>
        <v>199.8</v>
      </c>
      <c r="P10" s="309"/>
      <c r="Z10" s="168"/>
    </row>
    <row r="11" ht="16.5" customHeight="1" outlineLevel="4" spans="2:26">
      <c r="B11" s="470" t="s">
        <v>1538</v>
      </c>
      <c r="C11" s="473"/>
      <c r="D11" s="476" t="s">
        <v>1539</v>
      </c>
      <c r="E11" s="290"/>
      <c r="F11" s="290" t="s">
        <v>1537</v>
      </c>
      <c r="G11" s="475">
        <v>0.4</v>
      </c>
      <c r="H11" s="292" t="s">
        <v>827</v>
      </c>
      <c r="I11" s="475">
        <f>$E$2*(1+$F$2)</f>
        <v>5000</v>
      </c>
      <c r="J11" s="500"/>
      <c r="K11" s="497">
        <v>0.17</v>
      </c>
      <c r="L11" s="496">
        <f t="shared" si="3"/>
        <v>0</v>
      </c>
      <c r="M11" s="496">
        <f t="shared" si="4"/>
        <v>0</v>
      </c>
      <c r="N11" s="498">
        <f t="shared" si="5"/>
        <v>0</v>
      </c>
      <c r="O11" s="499"/>
      <c r="P11" s="309"/>
      <c r="Z11" s="168"/>
    </row>
    <row r="12" ht="16.5" customHeight="1" outlineLevel="4" spans="2:26">
      <c r="B12" s="470" t="s">
        <v>1540</v>
      </c>
      <c r="C12" s="473"/>
      <c r="D12" s="476" t="s">
        <v>1541</v>
      </c>
      <c r="E12" s="290"/>
      <c r="F12" s="290" t="s">
        <v>1537</v>
      </c>
      <c r="G12" s="475">
        <v>0.4</v>
      </c>
      <c r="H12" s="292" t="s">
        <v>827</v>
      </c>
      <c r="I12" s="475">
        <f>$E$2*(1+$F$2)</f>
        <v>5000</v>
      </c>
      <c r="J12" s="500">
        <v>450</v>
      </c>
      <c r="K12" s="497">
        <v>0.11</v>
      </c>
      <c r="L12" s="496">
        <f t="shared" si="3"/>
        <v>90</v>
      </c>
      <c r="M12" s="496">
        <f t="shared" si="4"/>
        <v>9.9</v>
      </c>
      <c r="N12" s="498">
        <f t="shared" si="5"/>
        <v>99.9</v>
      </c>
      <c r="O12" s="499"/>
      <c r="P12" s="309"/>
      <c r="Z12" s="168"/>
    </row>
    <row r="13" ht="16.5" customHeight="1" outlineLevel="3" spans="2:26">
      <c r="B13" s="470" t="s">
        <v>1542</v>
      </c>
      <c r="C13" s="473" t="s">
        <v>622</v>
      </c>
      <c r="D13" s="470" t="s">
        <v>1543</v>
      </c>
      <c r="E13" s="290" t="s">
        <v>774</v>
      </c>
      <c r="F13" s="290" t="s">
        <v>1537</v>
      </c>
      <c r="G13" s="475"/>
      <c r="H13" s="292"/>
      <c r="I13" s="475"/>
      <c r="J13" s="500"/>
      <c r="K13" s="497"/>
      <c r="L13" s="498">
        <f t="shared" ref="L13:N13" si="8">L14+L15</f>
        <v>153</v>
      </c>
      <c r="M13" s="498">
        <f t="shared" si="8"/>
        <v>16.83</v>
      </c>
      <c r="N13" s="498">
        <f t="shared" si="8"/>
        <v>169.83</v>
      </c>
      <c r="O13" s="499">
        <f t="shared" ref="O13:O76" si="9">IF(N13="","",N13*10000/E$2)</f>
        <v>339.66</v>
      </c>
      <c r="P13" s="309"/>
      <c r="Z13" s="168"/>
    </row>
    <row r="14" ht="16.5" customHeight="1" outlineLevel="4" spans="2:26">
      <c r="B14" s="470" t="s">
        <v>1544</v>
      </c>
      <c r="C14" s="473"/>
      <c r="D14" s="476" t="s">
        <v>1545</v>
      </c>
      <c r="E14" s="290"/>
      <c r="F14" s="290"/>
      <c r="G14" s="475">
        <v>51</v>
      </c>
      <c r="H14" s="292" t="s">
        <v>1546</v>
      </c>
      <c r="I14" s="475">
        <f>$E$2*(1+$F$2)</f>
        <v>5000</v>
      </c>
      <c r="J14" s="500"/>
      <c r="K14" s="497">
        <v>0.17</v>
      </c>
      <c r="L14" s="496">
        <f t="shared" ref="L14:L16" si="10">J14*I14*G14/10000</f>
        <v>0</v>
      </c>
      <c r="M14" s="496">
        <f t="shared" ref="M14:M16" si="11">L14*K14</f>
        <v>0</v>
      </c>
      <c r="N14" s="498">
        <f t="shared" ref="N14:N16" si="12">M14+L14</f>
        <v>0</v>
      </c>
      <c r="O14" s="499">
        <f t="shared" si="9"/>
        <v>0</v>
      </c>
      <c r="P14" s="309"/>
      <c r="Z14" s="168"/>
    </row>
    <row r="15" ht="16.5" customHeight="1" outlineLevel="4" spans="2:26">
      <c r="B15" s="470" t="s">
        <v>1547</v>
      </c>
      <c r="C15" s="473"/>
      <c r="D15" s="476" t="s">
        <v>1548</v>
      </c>
      <c r="E15" s="290"/>
      <c r="F15" s="290"/>
      <c r="G15" s="475">
        <v>51</v>
      </c>
      <c r="H15" s="292" t="s">
        <v>1546</v>
      </c>
      <c r="I15" s="475">
        <f>$E$2*(1+$F$2)</f>
        <v>5000</v>
      </c>
      <c r="J15" s="500">
        <v>6</v>
      </c>
      <c r="K15" s="497">
        <v>0.11</v>
      </c>
      <c r="L15" s="496">
        <f t="shared" si="10"/>
        <v>153</v>
      </c>
      <c r="M15" s="496">
        <f t="shared" si="11"/>
        <v>16.83</v>
      </c>
      <c r="N15" s="498">
        <f t="shared" si="12"/>
        <v>169.83</v>
      </c>
      <c r="O15" s="499">
        <f t="shared" si="9"/>
        <v>339.66</v>
      </c>
      <c r="P15" s="309"/>
      <c r="Z15" s="168"/>
    </row>
    <row r="16" ht="16.5" customHeight="1" outlineLevel="3" spans="2:26">
      <c r="B16" s="470" t="s">
        <v>1549</v>
      </c>
      <c r="C16" s="473" t="s">
        <v>622</v>
      </c>
      <c r="D16" s="470" t="s">
        <v>1550</v>
      </c>
      <c r="E16" s="290" t="s">
        <v>774</v>
      </c>
      <c r="F16" s="290" t="s">
        <v>1537</v>
      </c>
      <c r="G16" s="475">
        <v>3.5</v>
      </c>
      <c r="H16" s="292" t="s">
        <v>1015</v>
      </c>
      <c r="I16" s="475">
        <f>$E$2*(1+$F$2)</f>
        <v>5000</v>
      </c>
      <c r="J16" s="475">
        <v>50</v>
      </c>
      <c r="K16" s="497">
        <v>0.11</v>
      </c>
      <c r="L16" s="496">
        <f t="shared" si="10"/>
        <v>87.5</v>
      </c>
      <c r="M16" s="496">
        <f t="shared" si="11"/>
        <v>9.625</v>
      </c>
      <c r="N16" s="498">
        <f t="shared" si="12"/>
        <v>97.125</v>
      </c>
      <c r="O16" s="499">
        <f t="shared" si="9"/>
        <v>194.25</v>
      </c>
      <c r="P16" s="236"/>
      <c r="Z16" s="168"/>
    </row>
    <row r="17" ht="16.5" customHeight="1" outlineLevel="3" spans="2:26">
      <c r="B17" s="470" t="s">
        <v>1551</v>
      </c>
      <c r="C17" s="473" t="s">
        <v>622</v>
      </c>
      <c r="D17" s="470" t="s">
        <v>1552</v>
      </c>
      <c r="E17" s="290" t="s">
        <v>774</v>
      </c>
      <c r="F17" s="290"/>
      <c r="G17" s="475"/>
      <c r="H17" s="292"/>
      <c r="I17" s="475"/>
      <c r="J17" s="200"/>
      <c r="K17" s="497"/>
      <c r="L17" s="498">
        <f t="shared" ref="L17:N17" si="13">L18+L19</f>
        <v>60</v>
      </c>
      <c r="M17" s="498">
        <f t="shared" si="13"/>
        <v>6.6</v>
      </c>
      <c r="N17" s="498">
        <f t="shared" si="13"/>
        <v>66.6</v>
      </c>
      <c r="O17" s="499">
        <f t="shared" si="9"/>
        <v>133.2</v>
      </c>
      <c r="P17" s="236"/>
      <c r="Z17" s="168"/>
    </row>
    <row r="18" ht="16.5" customHeight="1" outlineLevel="4" spans="2:26">
      <c r="B18" s="470" t="s">
        <v>1553</v>
      </c>
      <c r="C18" s="473"/>
      <c r="D18" s="476" t="s">
        <v>1554</v>
      </c>
      <c r="E18" s="290"/>
      <c r="F18" s="290" t="s">
        <v>1537</v>
      </c>
      <c r="G18" s="475">
        <v>0.18</v>
      </c>
      <c r="H18" s="292" t="s">
        <v>827</v>
      </c>
      <c r="I18" s="475">
        <f>$E$2*(1+$F$2)</f>
        <v>5000</v>
      </c>
      <c r="J18" s="200"/>
      <c r="K18" s="497">
        <v>0.17</v>
      </c>
      <c r="L18" s="496">
        <f t="shared" ref="L18:L22" si="14">J18*I18*G18/10000</f>
        <v>0</v>
      </c>
      <c r="M18" s="496">
        <f t="shared" ref="M18:M22" si="15">L18*K18</f>
        <v>0</v>
      </c>
      <c r="N18" s="498">
        <f t="shared" ref="N18:N22" si="16">M18+L18</f>
        <v>0</v>
      </c>
      <c r="O18" s="499">
        <f t="shared" si="9"/>
        <v>0</v>
      </c>
      <c r="P18" s="236"/>
      <c r="Z18" s="168"/>
    </row>
    <row r="19" ht="16.5" customHeight="1" outlineLevel="4" spans="2:26">
      <c r="B19" s="470" t="s">
        <v>1555</v>
      </c>
      <c r="C19" s="473"/>
      <c r="D19" s="476" t="s">
        <v>1556</v>
      </c>
      <c r="E19" s="290"/>
      <c r="F19" s="290" t="s">
        <v>1537</v>
      </c>
      <c r="G19" s="475">
        <v>0.3</v>
      </c>
      <c r="H19" s="477" t="s">
        <v>655</v>
      </c>
      <c r="I19" s="475">
        <f>$E$2*(1+$F$2)</f>
        <v>5000</v>
      </c>
      <c r="J19" s="200">
        <v>400</v>
      </c>
      <c r="K19" s="497">
        <v>0.11</v>
      </c>
      <c r="L19" s="496">
        <f t="shared" si="14"/>
        <v>60</v>
      </c>
      <c r="M19" s="496">
        <f t="shared" si="15"/>
        <v>6.6</v>
      </c>
      <c r="N19" s="498">
        <f t="shared" si="16"/>
        <v>66.6</v>
      </c>
      <c r="O19" s="499">
        <f t="shared" si="9"/>
        <v>133.2</v>
      </c>
      <c r="P19" s="236"/>
      <c r="Z19" s="168"/>
    </row>
    <row r="20" ht="16.5" customHeight="1" outlineLevel="3" spans="2:26">
      <c r="B20" s="470" t="s">
        <v>1557</v>
      </c>
      <c r="C20" s="473" t="s">
        <v>622</v>
      </c>
      <c r="D20" s="470" t="s">
        <v>1558</v>
      </c>
      <c r="E20" s="290" t="s">
        <v>1353</v>
      </c>
      <c r="F20" s="290" t="s">
        <v>1537</v>
      </c>
      <c r="G20" s="478"/>
      <c r="H20" s="477"/>
      <c r="I20" s="475"/>
      <c r="J20" s="200"/>
      <c r="K20" s="497"/>
      <c r="L20" s="498">
        <f t="shared" ref="L20:N20" si="17">L21+L22</f>
        <v>28</v>
      </c>
      <c r="M20" s="498">
        <f t="shared" si="17"/>
        <v>3.92</v>
      </c>
      <c r="N20" s="498">
        <f t="shared" si="17"/>
        <v>31.92</v>
      </c>
      <c r="O20" s="499">
        <f t="shared" si="9"/>
        <v>63.84</v>
      </c>
      <c r="P20" s="236"/>
      <c r="Z20" s="168"/>
    </row>
    <row r="21" ht="16.5" customHeight="1" outlineLevel="4" spans="2:26">
      <c r="B21" s="470" t="s">
        <v>1559</v>
      </c>
      <c r="C21" s="473"/>
      <c r="D21" s="476" t="s">
        <v>1560</v>
      </c>
      <c r="E21" s="290" t="s">
        <v>1353</v>
      </c>
      <c r="F21" s="290" t="s">
        <v>1537</v>
      </c>
      <c r="G21" s="478">
        <v>0.7</v>
      </c>
      <c r="H21" s="477" t="s">
        <v>655</v>
      </c>
      <c r="I21" s="475">
        <f t="shared" ref="I21:I29" si="18">$E$2*(1+$F$2)</f>
        <v>5000</v>
      </c>
      <c r="J21" s="200">
        <v>40</v>
      </c>
      <c r="K21" s="497">
        <v>0.17</v>
      </c>
      <c r="L21" s="496">
        <f t="shared" si="14"/>
        <v>14</v>
      </c>
      <c r="M21" s="496">
        <f t="shared" si="15"/>
        <v>2.38</v>
      </c>
      <c r="N21" s="498">
        <f t="shared" si="16"/>
        <v>16.38</v>
      </c>
      <c r="O21" s="499">
        <f t="shared" si="9"/>
        <v>32.76</v>
      </c>
      <c r="P21" s="236"/>
      <c r="Z21" s="168"/>
    </row>
    <row r="22" ht="16.5" customHeight="1" outlineLevel="4" spans="2:26">
      <c r="B22" s="470" t="s">
        <v>1561</v>
      </c>
      <c r="C22" s="473"/>
      <c r="D22" s="476" t="s">
        <v>1562</v>
      </c>
      <c r="E22" s="290" t="s">
        <v>1353</v>
      </c>
      <c r="F22" s="290" t="s">
        <v>1537</v>
      </c>
      <c r="G22" s="478">
        <v>0.7</v>
      </c>
      <c r="H22" s="477" t="s">
        <v>655</v>
      </c>
      <c r="I22" s="475">
        <f t="shared" si="18"/>
        <v>5000</v>
      </c>
      <c r="J22" s="200">
        <v>40</v>
      </c>
      <c r="K22" s="497">
        <v>0.11</v>
      </c>
      <c r="L22" s="496">
        <f t="shared" si="14"/>
        <v>14</v>
      </c>
      <c r="M22" s="496">
        <f t="shared" si="15"/>
        <v>1.54</v>
      </c>
      <c r="N22" s="498">
        <f t="shared" si="16"/>
        <v>15.54</v>
      </c>
      <c r="O22" s="499">
        <f t="shared" si="9"/>
        <v>31.08</v>
      </c>
      <c r="P22" s="236"/>
      <c r="Z22" s="168"/>
    </row>
    <row r="23" ht="16.5" customHeight="1" outlineLevel="3" spans="2:26">
      <c r="B23" s="470" t="s">
        <v>1563</v>
      </c>
      <c r="C23" s="473" t="s">
        <v>622</v>
      </c>
      <c r="D23" s="470" t="s">
        <v>1564</v>
      </c>
      <c r="E23" s="479" t="s">
        <v>774</v>
      </c>
      <c r="F23" s="479"/>
      <c r="G23" s="478"/>
      <c r="H23" s="477" t="s">
        <v>827</v>
      </c>
      <c r="I23" s="475">
        <f t="shared" si="18"/>
        <v>5000</v>
      </c>
      <c r="J23" s="500"/>
      <c r="K23" s="497"/>
      <c r="L23" s="498">
        <f t="shared" ref="L23:N23" si="19">L24+L25+L26+L27+L28</f>
        <v>72.63</v>
      </c>
      <c r="M23" s="498">
        <f t="shared" si="19"/>
        <v>7.9893</v>
      </c>
      <c r="N23" s="498">
        <f t="shared" si="19"/>
        <v>80.6193</v>
      </c>
      <c r="O23" s="499">
        <f t="shared" si="9"/>
        <v>161.2386</v>
      </c>
      <c r="P23" s="309"/>
      <c r="Z23" s="168"/>
    </row>
    <row r="24" ht="16.5" customHeight="1" outlineLevel="4" spans="2:26">
      <c r="B24" s="470" t="s">
        <v>1565</v>
      </c>
      <c r="C24" s="473"/>
      <c r="D24" s="476" t="s">
        <v>1925</v>
      </c>
      <c r="E24" s="290"/>
      <c r="F24" s="290" t="s">
        <v>1537</v>
      </c>
      <c r="G24" s="480">
        <v>0.9</v>
      </c>
      <c r="H24" s="477" t="s">
        <v>1015</v>
      </c>
      <c r="I24" s="475">
        <f t="shared" si="18"/>
        <v>5000</v>
      </c>
      <c r="J24" s="500">
        <v>13</v>
      </c>
      <c r="K24" s="497">
        <v>0.11</v>
      </c>
      <c r="L24" s="496">
        <f t="shared" ref="L24:L29" si="20">J24*I24*G24/10000</f>
        <v>5.85</v>
      </c>
      <c r="M24" s="496">
        <f t="shared" ref="M24:M29" si="21">L24*K24</f>
        <v>0.6435</v>
      </c>
      <c r="N24" s="498">
        <f t="shared" ref="N24:N29" si="22">M24+L24</f>
        <v>6.4935</v>
      </c>
      <c r="O24" s="499">
        <f t="shared" si="9"/>
        <v>12.987</v>
      </c>
      <c r="P24" s="309"/>
      <c r="Z24" s="168"/>
    </row>
    <row r="25" ht="16.5" customHeight="1" outlineLevel="4" spans="2:26">
      <c r="B25" s="470" t="s">
        <v>1567</v>
      </c>
      <c r="C25" s="473"/>
      <c r="D25" s="476" t="s">
        <v>1926</v>
      </c>
      <c r="E25" s="290"/>
      <c r="F25" s="290" t="s">
        <v>1537</v>
      </c>
      <c r="G25" s="480">
        <v>2.5</v>
      </c>
      <c r="H25" s="477" t="s">
        <v>1015</v>
      </c>
      <c r="I25" s="475">
        <f t="shared" si="18"/>
        <v>5000</v>
      </c>
      <c r="J25" s="500">
        <f>25*0.97</f>
        <v>24.25</v>
      </c>
      <c r="K25" s="497">
        <v>0.11</v>
      </c>
      <c r="L25" s="496">
        <f t="shared" si="20"/>
        <v>30.3125</v>
      </c>
      <c r="M25" s="496">
        <f t="shared" si="21"/>
        <v>3.334375</v>
      </c>
      <c r="N25" s="498">
        <f t="shared" si="22"/>
        <v>33.646875</v>
      </c>
      <c r="O25" s="499">
        <f t="shared" si="9"/>
        <v>67.29375</v>
      </c>
      <c r="P25" s="309"/>
      <c r="Z25" s="168"/>
    </row>
    <row r="26" ht="16.5" customHeight="1" outlineLevel="4" spans="2:26">
      <c r="B26" s="470" t="s">
        <v>1569</v>
      </c>
      <c r="C26" s="473"/>
      <c r="D26" s="476" t="s">
        <v>1927</v>
      </c>
      <c r="E26" s="290"/>
      <c r="F26" s="290" t="s">
        <v>1537</v>
      </c>
      <c r="G26" s="480">
        <v>1.3</v>
      </c>
      <c r="H26" s="477" t="s">
        <v>1015</v>
      </c>
      <c r="I26" s="475">
        <f t="shared" si="18"/>
        <v>5000</v>
      </c>
      <c r="J26" s="500">
        <f>35*0.97</f>
        <v>33.95</v>
      </c>
      <c r="K26" s="497">
        <v>0.11</v>
      </c>
      <c r="L26" s="496">
        <f t="shared" si="20"/>
        <v>22.0675</v>
      </c>
      <c r="M26" s="496">
        <f t="shared" si="21"/>
        <v>2.427425</v>
      </c>
      <c r="N26" s="498">
        <f t="shared" si="22"/>
        <v>24.494925</v>
      </c>
      <c r="O26" s="499">
        <f t="shared" si="9"/>
        <v>48.98985</v>
      </c>
      <c r="P26" s="309"/>
      <c r="Z26" s="168"/>
    </row>
    <row r="27" ht="16.5" customHeight="1" outlineLevel="4" spans="2:26">
      <c r="B27" s="470" t="s">
        <v>1571</v>
      </c>
      <c r="C27" s="473"/>
      <c r="D27" s="476" t="s">
        <v>1928</v>
      </c>
      <c r="E27" s="290"/>
      <c r="F27" s="290" t="s">
        <v>1537</v>
      </c>
      <c r="G27" s="480">
        <v>1.2</v>
      </c>
      <c r="H27" s="477" t="s">
        <v>1015</v>
      </c>
      <c r="I27" s="475">
        <f t="shared" si="18"/>
        <v>5000</v>
      </c>
      <c r="J27" s="500">
        <v>15</v>
      </c>
      <c r="K27" s="497">
        <v>0.11</v>
      </c>
      <c r="L27" s="496">
        <f t="shared" si="20"/>
        <v>9</v>
      </c>
      <c r="M27" s="496">
        <f t="shared" si="21"/>
        <v>0.99</v>
      </c>
      <c r="N27" s="498">
        <f t="shared" si="22"/>
        <v>9.99</v>
      </c>
      <c r="O27" s="499">
        <f t="shared" si="9"/>
        <v>19.98</v>
      </c>
      <c r="P27" s="309"/>
      <c r="Z27" s="168"/>
    </row>
    <row r="28" ht="16.5" customHeight="1" outlineLevel="4" spans="2:26">
      <c r="B28" s="470" t="s">
        <v>1573</v>
      </c>
      <c r="C28" s="473"/>
      <c r="D28" s="476" t="s">
        <v>1574</v>
      </c>
      <c r="E28" s="290"/>
      <c r="F28" s="290" t="s">
        <v>1537</v>
      </c>
      <c r="G28" s="480">
        <v>0.9</v>
      </c>
      <c r="H28" s="477" t="s">
        <v>1015</v>
      </c>
      <c r="I28" s="475">
        <f t="shared" si="18"/>
        <v>5000</v>
      </c>
      <c r="J28" s="500">
        <v>12</v>
      </c>
      <c r="K28" s="497">
        <v>0.11</v>
      </c>
      <c r="L28" s="496">
        <f t="shared" si="20"/>
        <v>5.4</v>
      </c>
      <c r="M28" s="496">
        <f t="shared" si="21"/>
        <v>0.594</v>
      </c>
      <c r="N28" s="498">
        <f t="shared" si="22"/>
        <v>5.994</v>
      </c>
      <c r="O28" s="499">
        <f t="shared" si="9"/>
        <v>11.988</v>
      </c>
      <c r="P28" s="309"/>
      <c r="Z28" s="168"/>
    </row>
    <row r="29" ht="16.5" customHeight="1" outlineLevel="3" spans="2:26">
      <c r="B29" s="470" t="s">
        <v>1575</v>
      </c>
      <c r="C29" s="473" t="s">
        <v>622</v>
      </c>
      <c r="D29" s="470" t="s">
        <v>1576</v>
      </c>
      <c r="E29" s="290" t="s">
        <v>1356</v>
      </c>
      <c r="F29" s="290" t="s">
        <v>1537</v>
      </c>
      <c r="G29" s="478">
        <v>1</v>
      </c>
      <c r="H29" s="477" t="s">
        <v>655</v>
      </c>
      <c r="I29" s="475">
        <f t="shared" si="18"/>
        <v>5000</v>
      </c>
      <c r="J29" s="200">
        <f>(2.5*25+1.3*35)*0.03</f>
        <v>3.24</v>
      </c>
      <c r="K29" s="497">
        <v>0.17</v>
      </c>
      <c r="L29" s="496">
        <f t="shared" si="20"/>
        <v>1.62</v>
      </c>
      <c r="M29" s="496">
        <f t="shared" si="21"/>
        <v>0.2754</v>
      </c>
      <c r="N29" s="498">
        <f t="shared" si="22"/>
        <v>1.8954</v>
      </c>
      <c r="O29" s="499">
        <f t="shared" si="9"/>
        <v>3.7908</v>
      </c>
      <c r="P29" s="236"/>
      <c r="Z29" s="168"/>
    </row>
    <row r="30" ht="16.5" customHeight="1" outlineLevel="3" spans="2:26">
      <c r="B30" s="470" t="s">
        <v>1577</v>
      </c>
      <c r="C30" s="473" t="s">
        <v>622</v>
      </c>
      <c r="D30" s="470" t="s">
        <v>1578</v>
      </c>
      <c r="E30" s="479" t="s">
        <v>774</v>
      </c>
      <c r="F30" s="479"/>
      <c r="G30" s="478"/>
      <c r="H30" s="477"/>
      <c r="I30" s="200"/>
      <c r="J30" s="200"/>
      <c r="K30" s="41"/>
      <c r="L30" s="498">
        <f t="shared" ref="L30:N30" si="23">L31+L32</f>
        <v>1.23</v>
      </c>
      <c r="M30" s="498">
        <f t="shared" si="23"/>
        <v>0.1353</v>
      </c>
      <c r="N30" s="498">
        <f t="shared" si="23"/>
        <v>1.3653</v>
      </c>
      <c r="O30" s="499">
        <f t="shared" si="9"/>
        <v>2.7306</v>
      </c>
      <c r="P30" s="236"/>
      <c r="Z30" s="168"/>
    </row>
    <row r="31" ht="16.5" customHeight="1" outlineLevel="4" spans="2:26">
      <c r="B31" s="470" t="s">
        <v>1579</v>
      </c>
      <c r="C31" s="473"/>
      <c r="D31" s="476" t="s">
        <v>1580</v>
      </c>
      <c r="E31" s="290"/>
      <c r="F31" s="290" t="s">
        <v>1537</v>
      </c>
      <c r="G31" s="478">
        <v>0.13</v>
      </c>
      <c r="H31" s="477" t="s">
        <v>1015</v>
      </c>
      <c r="I31" s="475">
        <f>$E$2*(1+$F$2)</f>
        <v>5000</v>
      </c>
      <c r="J31" s="200">
        <f>60*0.2</f>
        <v>12</v>
      </c>
      <c r="K31" s="497">
        <v>0.11</v>
      </c>
      <c r="L31" s="496">
        <f t="shared" ref="L31:L38" si="24">J31*I31*G31/10000</f>
        <v>0.78</v>
      </c>
      <c r="M31" s="496">
        <f t="shared" ref="M31:M38" si="25">L31*K31</f>
        <v>0.0858</v>
      </c>
      <c r="N31" s="498">
        <f t="shared" ref="N31:N38" si="26">M31+L31</f>
        <v>0.8658</v>
      </c>
      <c r="O31" s="499">
        <f t="shared" si="9"/>
        <v>1.7316</v>
      </c>
      <c r="P31" s="236"/>
      <c r="Z31" s="168"/>
    </row>
    <row r="32" ht="16.5" customHeight="1" outlineLevel="4" spans="2:26">
      <c r="B32" s="470" t="s">
        <v>1581</v>
      </c>
      <c r="C32" s="473"/>
      <c r="D32" s="476" t="s">
        <v>1582</v>
      </c>
      <c r="E32" s="290"/>
      <c r="F32" s="290" t="s">
        <v>1537</v>
      </c>
      <c r="G32" s="478">
        <v>0.1</v>
      </c>
      <c r="H32" s="477" t="s">
        <v>1015</v>
      </c>
      <c r="I32" s="475">
        <f>$E$2*(1+$F$2)</f>
        <v>5000</v>
      </c>
      <c r="J32" s="200">
        <f>45*0.2</f>
        <v>9</v>
      </c>
      <c r="K32" s="497">
        <v>0.11</v>
      </c>
      <c r="L32" s="496">
        <f t="shared" si="24"/>
        <v>0.45</v>
      </c>
      <c r="M32" s="496">
        <f t="shared" si="25"/>
        <v>0.0495</v>
      </c>
      <c r="N32" s="498">
        <f t="shared" si="26"/>
        <v>0.4995</v>
      </c>
      <c r="O32" s="499">
        <f t="shared" si="9"/>
        <v>0.999</v>
      </c>
      <c r="P32" s="236"/>
      <c r="Z32" s="168"/>
    </row>
    <row r="33" ht="16.5" customHeight="1" outlineLevel="3" spans="2:26">
      <c r="B33" s="470" t="s">
        <v>1583</v>
      </c>
      <c r="C33" s="473" t="s">
        <v>622</v>
      </c>
      <c r="D33" s="470" t="s">
        <v>1584</v>
      </c>
      <c r="E33" s="479" t="s">
        <v>1357</v>
      </c>
      <c r="F33" s="479"/>
      <c r="G33" s="478"/>
      <c r="H33" s="477"/>
      <c r="I33" s="200"/>
      <c r="J33" s="200"/>
      <c r="K33" s="41"/>
      <c r="L33" s="498">
        <f t="shared" ref="L33:N33" si="27">L34+L35+L36+L37+L38</f>
        <v>8.6</v>
      </c>
      <c r="M33" s="498">
        <f t="shared" si="27"/>
        <v>1.462</v>
      </c>
      <c r="N33" s="498">
        <f t="shared" si="27"/>
        <v>10.062</v>
      </c>
      <c r="O33" s="499">
        <f t="shared" si="9"/>
        <v>20.124</v>
      </c>
      <c r="P33" s="236"/>
      <c r="Z33" s="168"/>
    </row>
    <row r="34" ht="16.5" customHeight="1" outlineLevel="4" spans="2:26">
      <c r="B34" s="470" t="s">
        <v>1585</v>
      </c>
      <c r="C34" s="473"/>
      <c r="D34" s="476" t="s">
        <v>1586</v>
      </c>
      <c r="E34" s="290"/>
      <c r="F34" s="290" t="s">
        <v>1537</v>
      </c>
      <c r="G34" s="478">
        <v>0.13</v>
      </c>
      <c r="H34" s="477" t="s">
        <v>1015</v>
      </c>
      <c r="I34" s="475">
        <f>$E$2*(1+$F$2)</f>
        <v>5000</v>
      </c>
      <c r="J34" s="200">
        <f>60*0.8</f>
        <v>48</v>
      </c>
      <c r="K34" s="497">
        <v>0.17</v>
      </c>
      <c r="L34" s="496">
        <f t="shared" si="24"/>
        <v>3.12</v>
      </c>
      <c r="M34" s="496">
        <f t="shared" si="25"/>
        <v>0.5304</v>
      </c>
      <c r="N34" s="498">
        <f t="shared" si="26"/>
        <v>3.6504</v>
      </c>
      <c r="O34" s="499">
        <f t="shared" si="9"/>
        <v>7.3008</v>
      </c>
      <c r="P34" s="236"/>
      <c r="Z34" s="168"/>
    </row>
    <row r="35" ht="16.5" customHeight="1" outlineLevel="4" spans="2:26">
      <c r="B35" s="470" t="s">
        <v>1587</v>
      </c>
      <c r="C35" s="473"/>
      <c r="D35" s="476" t="s">
        <v>1588</v>
      </c>
      <c r="E35" s="290"/>
      <c r="F35" s="290" t="s">
        <v>1537</v>
      </c>
      <c r="G35" s="478">
        <v>0.1</v>
      </c>
      <c r="H35" s="477" t="s">
        <v>1015</v>
      </c>
      <c r="I35" s="475">
        <f>$E$2*(1+$F$2)</f>
        <v>5000</v>
      </c>
      <c r="J35" s="200">
        <f>45*0.8</f>
        <v>36</v>
      </c>
      <c r="K35" s="497">
        <v>0.17</v>
      </c>
      <c r="L35" s="496">
        <f t="shared" si="24"/>
        <v>1.8</v>
      </c>
      <c r="M35" s="496">
        <f t="shared" si="25"/>
        <v>0.306</v>
      </c>
      <c r="N35" s="498">
        <f t="shared" si="26"/>
        <v>2.106</v>
      </c>
      <c r="O35" s="499">
        <f t="shared" si="9"/>
        <v>4.212</v>
      </c>
      <c r="P35" s="236"/>
      <c r="Z35" s="168"/>
    </row>
    <row r="36" ht="16.5" customHeight="1" outlineLevel="4" spans="2:26">
      <c r="B36" s="470" t="s">
        <v>1589</v>
      </c>
      <c r="C36" s="473"/>
      <c r="D36" s="476" t="s">
        <v>1929</v>
      </c>
      <c r="E36" s="290"/>
      <c r="F36" s="290" t="s">
        <v>1537</v>
      </c>
      <c r="G36" s="255">
        <v>0.24</v>
      </c>
      <c r="H36" s="477" t="s">
        <v>1015</v>
      </c>
      <c r="I36" s="475">
        <f>$E$2*(1+$F$2)</f>
        <v>5000</v>
      </c>
      <c r="J36" s="200">
        <f t="shared" ref="J36:J38" si="28">32*0.5</f>
        <v>16</v>
      </c>
      <c r="K36" s="497">
        <v>0.17</v>
      </c>
      <c r="L36" s="496">
        <f t="shared" si="24"/>
        <v>1.92</v>
      </c>
      <c r="M36" s="496">
        <f t="shared" si="25"/>
        <v>0.3264</v>
      </c>
      <c r="N36" s="498">
        <f t="shared" si="26"/>
        <v>2.2464</v>
      </c>
      <c r="O36" s="499">
        <f t="shared" si="9"/>
        <v>4.4928</v>
      </c>
      <c r="P36" s="236"/>
      <c r="Z36" s="168"/>
    </row>
    <row r="37" ht="16.5" customHeight="1" outlineLevel="4" spans="2:26">
      <c r="B37" s="470" t="s">
        <v>1591</v>
      </c>
      <c r="C37" s="473"/>
      <c r="D37" s="476" t="s">
        <v>1930</v>
      </c>
      <c r="E37" s="290"/>
      <c r="F37" s="290" t="s">
        <v>1537</v>
      </c>
      <c r="G37" s="255">
        <v>0.12</v>
      </c>
      <c r="H37" s="477" t="s">
        <v>1015</v>
      </c>
      <c r="I37" s="475">
        <f>$E$2*(1+$F$2)</f>
        <v>5000</v>
      </c>
      <c r="J37" s="200">
        <f t="shared" si="28"/>
        <v>16</v>
      </c>
      <c r="K37" s="497">
        <v>0.17</v>
      </c>
      <c r="L37" s="496">
        <f t="shared" si="24"/>
        <v>0.96</v>
      </c>
      <c r="M37" s="496">
        <f t="shared" si="25"/>
        <v>0.1632</v>
      </c>
      <c r="N37" s="498">
        <f t="shared" si="26"/>
        <v>1.1232</v>
      </c>
      <c r="O37" s="499">
        <f t="shared" si="9"/>
        <v>2.2464</v>
      </c>
      <c r="P37" s="236"/>
      <c r="Z37" s="168"/>
    </row>
    <row r="38" ht="16.5" customHeight="1" outlineLevel="4" spans="2:26">
      <c r="B38" s="470" t="s">
        <v>1593</v>
      </c>
      <c r="C38" s="473"/>
      <c r="D38" s="476" t="s">
        <v>1931</v>
      </c>
      <c r="E38" s="290"/>
      <c r="F38" s="290" t="s">
        <v>1537</v>
      </c>
      <c r="G38" s="255">
        <v>0.1</v>
      </c>
      <c r="H38" s="477" t="s">
        <v>1015</v>
      </c>
      <c r="I38" s="475">
        <f>$E$2*(1+$F$2)</f>
        <v>5000</v>
      </c>
      <c r="J38" s="200">
        <f t="shared" si="28"/>
        <v>16</v>
      </c>
      <c r="K38" s="497">
        <v>0.17</v>
      </c>
      <c r="L38" s="496">
        <f t="shared" si="24"/>
        <v>0.8</v>
      </c>
      <c r="M38" s="496">
        <f t="shared" si="25"/>
        <v>0.136</v>
      </c>
      <c r="N38" s="498">
        <f t="shared" si="26"/>
        <v>0.936</v>
      </c>
      <c r="O38" s="499">
        <f t="shared" si="9"/>
        <v>1.872</v>
      </c>
      <c r="P38" s="236"/>
      <c r="Z38" s="168"/>
    </row>
    <row r="39" ht="16.5" customHeight="1" outlineLevel="3" spans="2:26">
      <c r="B39" s="470" t="s">
        <v>1595</v>
      </c>
      <c r="C39" s="473" t="s">
        <v>622</v>
      </c>
      <c r="D39" s="470" t="s">
        <v>1596</v>
      </c>
      <c r="E39" s="479" t="s">
        <v>1358</v>
      </c>
      <c r="F39" s="479"/>
      <c r="G39" s="478"/>
      <c r="H39" s="477"/>
      <c r="I39" s="200"/>
      <c r="J39" s="200"/>
      <c r="K39" s="41"/>
      <c r="L39" s="498">
        <f t="shared" ref="L39:N39" si="29">L40+L41+L42</f>
        <v>3.68</v>
      </c>
      <c r="M39" s="498">
        <f t="shared" si="29"/>
        <v>0.4048</v>
      </c>
      <c r="N39" s="498">
        <f t="shared" si="29"/>
        <v>4.0848</v>
      </c>
      <c r="O39" s="499">
        <f t="shared" si="9"/>
        <v>8.1696</v>
      </c>
      <c r="P39" s="236"/>
      <c r="Z39" s="168"/>
    </row>
    <row r="40" ht="16.5" customHeight="1" outlineLevel="4" spans="2:26">
      <c r="B40" s="470" t="s">
        <v>1597</v>
      </c>
      <c r="C40" s="473"/>
      <c r="D40" s="476" t="s">
        <v>1932</v>
      </c>
      <c r="E40" s="290"/>
      <c r="F40" s="290" t="s">
        <v>1537</v>
      </c>
      <c r="G40" s="255">
        <v>0.24</v>
      </c>
      <c r="H40" s="477" t="s">
        <v>1015</v>
      </c>
      <c r="I40" s="475">
        <f>$E$2*(1+$F$2)</f>
        <v>5000</v>
      </c>
      <c r="J40" s="200">
        <f t="shared" ref="J40:J42" si="30">32*0.5</f>
        <v>16</v>
      </c>
      <c r="K40" s="497">
        <v>0.11</v>
      </c>
      <c r="L40" s="496">
        <f t="shared" ref="L40:L42" si="31">J40*I40*G40/10000</f>
        <v>1.92</v>
      </c>
      <c r="M40" s="496">
        <f t="shared" ref="M40:M42" si="32">L40*K40</f>
        <v>0.2112</v>
      </c>
      <c r="N40" s="498">
        <f t="shared" ref="N40:N42" si="33">M40+L40</f>
        <v>2.1312</v>
      </c>
      <c r="O40" s="499">
        <f t="shared" si="9"/>
        <v>4.2624</v>
      </c>
      <c r="P40" s="236"/>
      <c r="Z40" s="168"/>
    </row>
    <row r="41" ht="16.5" customHeight="1" outlineLevel="4" spans="2:26">
      <c r="B41" s="470" t="s">
        <v>1599</v>
      </c>
      <c r="C41" s="473"/>
      <c r="D41" s="476" t="s">
        <v>1933</v>
      </c>
      <c r="E41" s="290"/>
      <c r="F41" s="290" t="s">
        <v>1537</v>
      </c>
      <c r="G41" s="255">
        <v>0.12</v>
      </c>
      <c r="H41" s="477" t="s">
        <v>1015</v>
      </c>
      <c r="I41" s="475">
        <f>$E$2*(1+$F$2)</f>
        <v>5000</v>
      </c>
      <c r="J41" s="200">
        <f t="shared" si="30"/>
        <v>16</v>
      </c>
      <c r="K41" s="497">
        <v>0.11</v>
      </c>
      <c r="L41" s="496">
        <f t="shared" si="31"/>
        <v>0.96</v>
      </c>
      <c r="M41" s="496">
        <f t="shared" si="32"/>
        <v>0.1056</v>
      </c>
      <c r="N41" s="498">
        <f t="shared" si="33"/>
        <v>1.0656</v>
      </c>
      <c r="O41" s="499">
        <f t="shared" si="9"/>
        <v>2.1312</v>
      </c>
      <c r="P41" s="236"/>
      <c r="Z41" s="168"/>
    </row>
    <row r="42" ht="16.5" customHeight="1" outlineLevel="4" spans="2:26">
      <c r="B42" s="470" t="s">
        <v>1601</v>
      </c>
      <c r="C42" s="473"/>
      <c r="D42" s="476" t="s">
        <v>1934</v>
      </c>
      <c r="E42" s="290"/>
      <c r="F42" s="290" t="s">
        <v>1537</v>
      </c>
      <c r="G42" s="255">
        <v>0.1</v>
      </c>
      <c r="H42" s="477" t="s">
        <v>1015</v>
      </c>
      <c r="I42" s="475">
        <f>$E$2*(1+$F$2)</f>
        <v>5000</v>
      </c>
      <c r="J42" s="200">
        <f t="shared" si="30"/>
        <v>16</v>
      </c>
      <c r="K42" s="497">
        <v>0.11</v>
      </c>
      <c r="L42" s="496">
        <f t="shared" si="31"/>
        <v>0.8</v>
      </c>
      <c r="M42" s="496">
        <f t="shared" si="32"/>
        <v>0.088</v>
      </c>
      <c r="N42" s="498">
        <f t="shared" si="33"/>
        <v>0.888</v>
      </c>
      <c r="O42" s="499">
        <f t="shared" si="9"/>
        <v>1.776</v>
      </c>
      <c r="P42" s="236"/>
      <c r="Z42" s="168"/>
    </row>
    <row r="43" ht="16.5" customHeight="1" outlineLevel="3" spans="2:26">
      <c r="B43" s="470" t="s">
        <v>1603</v>
      </c>
      <c r="C43" s="473" t="s">
        <v>622</v>
      </c>
      <c r="D43" s="470" t="s">
        <v>1604</v>
      </c>
      <c r="E43" s="290" t="s">
        <v>774</v>
      </c>
      <c r="F43" s="290" t="s">
        <v>1537</v>
      </c>
      <c r="G43" s="478"/>
      <c r="H43" s="477"/>
      <c r="I43" s="475"/>
      <c r="J43" s="200"/>
      <c r="K43" s="497"/>
      <c r="L43" s="498">
        <f t="shared" ref="L43:N43" si="34">L44+L45+L46+L47+L48</f>
        <v>82.3</v>
      </c>
      <c r="M43" s="498">
        <f t="shared" si="34"/>
        <v>9.053</v>
      </c>
      <c r="N43" s="498">
        <f t="shared" si="34"/>
        <v>91.353</v>
      </c>
      <c r="O43" s="499">
        <f t="shared" si="9"/>
        <v>182.706</v>
      </c>
      <c r="P43" s="236"/>
      <c r="Z43" s="168"/>
    </row>
    <row r="44" ht="16.5" customHeight="1" outlineLevel="4" spans="2:26">
      <c r="B44" s="470" t="s">
        <v>1605</v>
      </c>
      <c r="C44" s="473"/>
      <c r="D44" s="476" t="s">
        <v>1935</v>
      </c>
      <c r="E44" s="290"/>
      <c r="F44" s="290" t="s">
        <v>1537</v>
      </c>
      <c r="G44" s="478">
        <v>1</v>
      </c>
      <c r="H44" s="477" t="s">
        <v>1015</v>
      </c>
      <c r="I44" s="475">
        <f>$E$2*(1+$F$2)</f>
        <v>5000</v>
      </c>
      <c r="J44" s="200">
        <v>72.6</v>
      </c>
      <c r="K44" s="497">
        <v>0.11</v>
      </c>
      <c r="L44" s="496">
        <f t="shared" ref="L44:L48" si="35">J44*I44*G44/10000</f>
        <v>36.3</v>
      </c>
      <c r="M44" s="496">
        <f t="shared" ref="M44:M48" si="36">L44*K44</f>
        <v>3.993</v>
      </c>
      <c r="N44" s="498">
        <f t="shared" ref="N44:N48" si="37">M44+L44</f>
        <v>40.293</v>
      </c>
      <c r="O44" s="499">
        <f t="shared" si="9"/>
        <v>80.586</v>
      </c>
      <c r="P44" s="236"/>
      <c r="Z44" s="168"/>
    </row>
    <row r="45" ht="16.5" customHeight="1" outlineLevel="4" spans="2:26">
      <c r="B45" s="470" t="s">
        <v>1607</v>
      </c>
      <c r="C45" s="473"/>
      <c r="D45" s="476" t="s">
        <v>1936</v>
      </c>
      <c r="E45" s="290"/>
      <c r="F45" s="290" t="s">
        <v>1537</v>
      </c>
      <c r="G45" s="478">
        <v>1</v>
      </c>
      <c r="H45" s="477" t="s">
        <v>1015</v>
      </c>
      <c r="I45" s="475">
        <f>$E$2*(1+$F$2)</f>
        <v>5000</v>
      </c>
      <c r="J45" s="200">
        <v>10</v>
      </c>
      <c r="K45" s="497">
        <v>0.11</v>
      </c>
      <c r="L45" s="496">
        <f t="shared" si="35"/>
        <v>5</v>
      </c>
      <c r="M45" s="496">
        <f t="shared" si="36"/>
        <v>0.55</v>
      </c>
      <c r="N45" s="498">
        <f t="shared" si="37"/>
        <v>5.55</v>
      </c>
      <c r="O45" s="499">
        <f t="shared" si="9"/>
        <v>11.1</v>
      </c>
      <c r="P45" s="236"/>
      <c r="Z45" s="168"/>
    </row>
    <row r="46" ht="16.5" customHeight="1" outlineLevel="4" spans="2:26">
      <c r="B46" s="470" t="s">
        <v>1609</v>
      </c>
      <c r="C46" s="473"/>
      <c r="D46" s="476" t="s">
        <v>1937</v>
      </c>
      <c r="E46" s="290"/>
      <c r="F46" s="290" t="s">
        <v>1537</v>
      </c>
      <c r="G46" s="478">
        <v>1</v>
      </c>
      <c r="H46" s="477" t="s">
        <v>1015</v>
      </c>
      <c r="I46" s="475">
        <f>$E$2*(1+$F$2)</f>
        <v>5000</v>
      </c>
      <c r="J46" s="200">
        <v>38</v>
      </c>
      <c r="K46" s="497">
        <v>0.11</v>
      </c>
      <c r="L46" s="496">
        <f t="shared" si="35"/>
        <v>19</v>
      </c>
      <c r="M46" s="496">
        <f t="shared" si="36"/>
        <v>2.09</v>
      </c>
      <c r="N46" s="498">
        <f t="shared" si="37"/>
        <v>21.09</v>
      </c>
      <c r="O46" s="499">
        <f t="shared" si="9"/>
        <v>42.18</v>
      </c>
      <c r="P46" s="236"/>
      <c r="Z46" s="168"/>
    </row>
    <row r="47" ht="16.5" customHeight="1" outlineLevel="4" spans="2:26">
      <c r="B47" s="470" t="s">
        <v>1611</v>
      </c>
      <c r="C47" s="473"/>
      <c r="D47" s="476" t="s">
        <v>1938</v>
      </c>
      <c r="E47" s="290"/>
      <c r="F47" s="290" t="s">
        <v>1537</v>
      </c>
      <c r="G47" s="478">
        <v>1</v>
      </c>
      <c r="H47" s="477" t="s">
        <v>1015</v>
      </c>
      <c r="I47" s="475">
        <f>$E$2*(1+$F$2)</f>
        <v>5000</v>
      </c>
      <c r="J47" s="200">
        <v>44</v>
      </c>
      <c r="K47" s="497">
        <v>0.11</v>
      </c>
      <c r="L47" s="496">
        <f t="shared" si="35"/>
        <v>22</v>
      </c>
      <c r="M47" s="496">
        <f t="shared" si="36"/>
        <v>2.42</v>
      </c>
      <c r="N47" s="498">
        <f t="shared" si="37"/>
        <v>24.42</v>
      </c>
      <c r="O47" s="499">
        <f t="shared" si="9"/>
        <v>48.84</v>
      </c>
      <c r="P47" s="236"/>
      <c r="Z47" s="168"/>
    </row>
    <row r="48" ht="16.5" customHeight="1" outlineLevel="4" spans="2:26">
      <c r="B48" s="470" t="s">
        <v>1613</v>
      </c>
      <c r="C48" s="473"/>
      <c r="D48" s="476" t="s">
        <v>1996</v>
      </c>
      <c r="E48" s="290"/>
      <c r="F48" s="290" t="s">
        <v>1537</v>
      </c>
      <c r="G48" s="478">
        <v>1</v>
      </c>
      <c r="H48" s="477" t="s">
        <v>1015</v>
      </c>
      <c r="I48" s="475">
        <f>$E$2*(1+$F$2)</f>
        <v>5000</v>
      </c>
      <c r="J48" s="200"/>
      <c r="K48" s="497">
        <v>0.11</v>
      </c>
      <c r="L48" s="496">
        <f t="shared" si="35"/>
        <v>0</v>
      </c>
      <c r="M48" s="496">
        <f t="shared" si="36"/>
        <v>0</v>
      </c>
      <c r="N48" s="498">
        <f t="shared" si="37"/>
        <v>0</v>
      </c>
      <c r="O48" s="499">
        <f t="shared" si="9"/>
        <v>0</v>
      </c>
      <c r="P48" s="236"/>
      <c r="Z48" s="168"/>
    </row>
    <row r="49" ht="16.5" customHeight="1" outlineLevel="3" spans="2:26">
      <c r="B49" s="470" t="s">
        <v>1615</v>
      </c>
      <c r="C49" s="473" t="s">
        <v>622</v>
      </c>
      <c r="D49" s="470" t="s">
        <v>1616</v>
      </c>
      <c r="E49" s="479" t="s">
        <v>774</v>
      </c>
      <c r="F49" s="479"/>
      <c r="G49" s="478"/>
      <c r="H49" s="477"/>
      <c r="I49" s="475"/>
      <c r="J49" s="200"/>
      <c r="K49" s="497"/>
      <c r="L49" s="498">
        <f t="shared" ref="L49:N49" si="38">L50+L51</f>
        <v>8.235</v>
      </c>
      <c r="M49" s="498">
        <f t="shared" si="38"/>
        <v>0.90585</v>
      </c>
      <c r="N49" s="498">
        <f t="shared" si="38"/>
        <v>9.14085</v>
      </c>
      <c r="O49" s="499">
        <f t="shared" si="9"/>
        <v>18.2817</v>
      </c>
      <c r="P49" s="236"/>
      <c r="Z49" s="168"/>
    </row>
    <row r="50" ht="16.5" customHeight="1" outlineLevel="4" spans="2:26">
      <c r="B50" s="470" t="s">
        <v>1617</v>
      </c>
      <c r="C50" s="473"/>
      <c r="D50" s="476" t="s">
        <v>1975</v>
      </c>
      <c r="E50" s="290"/>
      <c r="F50" s="290" t="s">
        <v>1537</v>
      </c>
      <c r="G50" s="478">
        <v>0.35</v>
      </c>
      <c r="H50" s="477" t="s">
        <v>1015</v>
      </c>
      <c r="I50" s="475">
        <f>$E$2*(1+$F$2)</f>
        <v>5000</v>
      </c>
      <c r="J50" s="200">
        <v>45</v>
      </c>
      <c r="K50" s="497">
        <v>0.11</v>
      </c>
      <c r="L50" s="496">
        <f t="shared" ref="L50:L57" si="39">J50*I50*G50/10000</f>
        <v>7.875</v>
      </c>
      <c r="M50" s="496">
        <f t="shared" ref="M50:M57" si="40">L50*K50</f>
        <v>0.86625</v>
      </c>
      <c r="N50" s="498">
        <f t="shared" ref="N50:N57" si="41">M50+L50</f>
        <v>8.74125</v>
      </c>
      <c r="O50" s="499">
        <f t="shared" si="9"/>
        <v>17.4825</v>
      </c>
      <c r="P50" s="236"/>
      <c r="Z50" s="168"/>
    </row>
    <row r="51" ht="16.5" customHeight="1" outlineLevel="4" spans="2:26">
      <c r="B51" s="470" t="s">
        <v>1619</v>
      </c>
      <c r="C51" s="473"/>
      <c r="D51" s="476" t="s">
        <v>1624</v>
      </c>
      <c r="E51" s="479"/>
      <c r="F51" s="479" t="s">
        <v>862</v>
      </c>
      <c r="G51" s="478">
        <v>0.2</v>
      </c>
      <c r="H51" s="477" t="s">
        <v>655</v>
      </c>
      <c r="I51" s="475">
        <f>$G$2</f>
        <v>200</v>
      </c>
      <c r="J51" s="200">
        <v>90</v>
      </c>
      <c r="K51" s="497">
        <v>0.11</v>
      </c>
      <c r="L51" s="496">
        <f t="shared" si="39"/>
        <v>0.36</v>
      </c>
      <c r="M51" s="496">
        <f t="shared" si="40"/>
        <v>0.0396</v>
      </c>
      <c r="N51" s="498">
        <f t="shared" si="41"/>
        <v>0.3996</v>
      </c>
      <c r="O51" s="499">
        <f t="shared" si="9"/>
        <v>0.7992</v>
      </c>
      <c r="P51" s="236"/>
      <c r="Z51" s="168"/>
    </row>
    <row r="52" ht="16.5" customHeight="1" outlineLevel="3" spans="2:26">
      <c r="B52" s="470" t="s">
        <v>1625</v>
      </c>
      <c r="C52" s="473" t="s">
        <v>622</v>
      </c>
      <c r="D52" s="470" t="s">
        <v>1626</v>
      </c>
      <c r="E52" s="479" t="s">
        <v>774</v>
      </c>
      <c r="F52" s="479"/>
      <c r="G52" s="478"/>
      <c r="H52" s="477"/>
      <c r="I52" s="200"/>
      <c r="J52" s="200"/>
      <c r="K52" s="41"/>
      <c r="L52" s="498">
        <f t="shared" ref="L52:N52" si="42">L53+L54</f>
        <v>12.24</v>
      </c>
      <c r="M52" s="498">
        <f t="shared" si="42"/>
        <v>2.0808</v>
      </c>
      <c r="N52" s="498">
        <f t="shared" si="42"/>
        <v>14.3208</v>
      </c>
      <c r="O52" s="499">
        <f t="shared" si="9"/>
        <v>28.6416</v>
      </c>
      <c r="P52" s="236"/>
      <c r="Z52" s="168"/>
    </row>
    <row r="53" ht="16.5" customHeight="1" outlineLevel="4" spans="2:26">
      <c r="B53" s="470" t="s">
        <v>1627</v>
      </c>
      <c r="C53" s="473"/>
      <c r="D53" s="476" t="s">
        <v>1976</v>
      </c>
      <c r="E53" s="290"/>
      <c r="F53" s="290" t="s">
        <v>1537</v>
      </c>
      <c r="G53" s="478">
        <v>1</v>
      </c>
      <c r="H53" s="477" t="s">
        <v>1015</v>
      </c>
      <c r="I53" s="475">
        <f>$E$2</f>
        <v>5000</v>
      </c>
      <c r="J53" s="200">
        <v>21.6</v>
      </c>
      <c r="K53" s="497">
        <v>0.17</v>
      </c>
      <c r="L53" s="496">
        <f t="shared" si="39"/>
        <v>10.8</v>
      </c>
      <c r="M53" s="496">
        <f t="shared" si="40"/>
        <v>1.836</v>
      </c>
      <c r="N53" s="498">
        <f t="shared" si="41"/>
        <v>12.636</v>
      </c>
      <c r="O53" s="499">
        <f t="shared" si="9"/>
        <v>25.272</v>
      </c>
      <c r="P53" s="236"/>
      <c r="Z53" s="168"/>
    </row>
    <row r="54" ht="16.5" customHeight="1" outlineLevel="4" spans="2:26">
      <c r="B54" s="470" t="s">
        <v>1629</v>
      </c>
      <c r="C54" s="473"/>
      <c r="D54" s="476" t="s">
        <v>1634</v>
      </c>
      <c r="E54" s="479"/>
      <c r="F54" s="479" t="s">
        <v>862</v>
      </c>
      <c r="G54" s="478">
        <v>0.8</v>
      </c>
      <c r="H54" s="477" t="s">
        <v>655</v>
      </c>
      <c r="I54" s="475">
        <f>$G$2</f>
        <v>200</v>
      </c>
      <c r="J54" s="200">
        <v>90</v>
      </c>
      <c r="K54" s="497">
        <v>0.17</v>
      </c>
      <c r="L54" s="496">
        <f t="shared" si="39"/>
        <v>1.44</v>
      </c>
      <c r="M54" s="496">
        <f t="shared" si="40"/>
        <v>0.2448</v>
      </c>
      <c r="N54" s="498">
        <f t="shared" si="41"/>
        <v>1.6848</v>
      </c>
      <c r="O54" s="499">
        <f t="shared" si="9"/>
        <v>3.3696</v>
      </c>
      <c r="P54" s="236"/>
      <c r="Z54" s="168"/>
    </row>
    <row r="55" ht="16.5" customHeight="1" outlineLevel="3" spans="2:26">
      <c r="B55" s="470" t="s">
        <v>1635</v>
      </c>
      <c r="C55" s="473" t="s">
        <v>622</v>
      </c>
      <c r="D55" s="470" t="s">
        <v>1636</v>
      </c>
      <c r="E55" s="479" t="s">
        <v>774</v>
      </c>
      <c r="F55" s="479" t="s">
        <v>601</v>
      </c>
      <c r="G55" s="478">
        <v>2.8</v>
      </c>
      <c r="H55" s="477" t="s">
        <v>1637</v>
      </c>
      <c r="I55" s="200">
        <f>$H$2</f>
        <v>0</v>
      </c>
      <c r="J55" s="200">
        <v>140</v>
      </c>
      <c r="K55" s="41">
        <v>0.11</v>
      </c>
      <c r="L55" s="496">
        <f t="shared" si="39"/>
        <v>0</v>
      </c>
      <c r="M55" s="496">
        <f t="shared" si="40"/>
        <v>0</v>
      </c>
      <c r="N55" s="498">
        <f t="shared" si="41"/>
        <v>0</v>
      </c>
      <c r="O55" s="499">
        <f t="shared" si="9"/>
        <v>0</v>
      </c>
      <c r="P55" s="236"/>
      <c r="Z55" s="168"/>
    </row>
    <row r="56" ht="16.5" customHeight="1" outlineLevel="3" spans="2:26">
      <c r="B56" s="470" t="s">
        <v>1638</v>
      </c>
      <c r="C56" s="473" t="s">
        <v>622</v>
      </c>
      <c r="D56" s="470" t="s">
        <v>1639</v>
      </c>
      <c r="E56" s="290" t="s">
        <v>774</v>
      </c>
      <c r="F56" s="290" t="s">
        <v>1537</v>
      </c>
      <c r="G56" s="478">
        <v>1</v>
      </c>
      <c r="H56" s="477" t="s">
        <v>655</v>
      </c>
      <c r="I56" s="475">
        <f>$E$2*(1+$F$2)</f>
        <v>5000</v>
      </c>
      <c r="J56" s="200">
        <v>50</v>
      </c>
      <c r="K56" s="497">
        <v>0.11</v>
      </c>
      <c r="L56" s="496">
        <f t="shared" si="39"/>
        <v>25</v>
      </c>
      <c r="M56" s="496">
        <f t="shared" si="40"/>
        <v>2.75</v>
      </c>
      <c r="N56" s="498">
        <f t="shared" si="41"/>
        <v>27.75</v>
      </c>
      <c r="O56" s="499">
        <f t="shared" si="9"/>
        <v>55.5</v>
      </c>
      <c r="P56" s="236"/>
      <c r="Z56" s="168"/>
    </row>
    <row r="57" ht="16.5" customHeight="1" outlineLevel="3" spans="2:26">
      <c r="B57" s="470" t="s">
        <v>1640</v>
      </c>
      <c r="C57" s="473" t="s">
        <v>622</v>
      </c>
      <c r="D57" s="470" t="s">
        <v>1641</v>
      </c>
      <c r="E57" s="479" t="s">
        <v>774</v>
      </c>
      <c r="F57" s="479"/>
      <c r="G57" s="478"/>
      <c r="H57" s="477"/>
      <c r="I57" s="200"/>
      <c r="J57" s="200"/>
      <c r="K57" s="41">
        <v>0.11</v>
      </c>
      <c r="L57" s="496">
        <f t="shared" si="39"/>
        <v>0</v>
      </c>
      <c r="M57" s="496">
        <f t="shared" si="40"/>
        <v>0</v>
      </c>
      <c r="N57" s="498">
        <f t="shared" si="41"/>
        <v>0</v>
      </c>
      <c r="O57" s="499">
        <f t="shared" si="9"/>
        <v>0</v>
      </c>
      <c r="P57" s="236"/>
      <c r="Z57" s="168"/>
    </row>
    <row r="58" ht="20.25" customHeight="1" outlineLevel="3" spans="2:26">
      <c r="B58" s="470" t="s">
        <v>1642</v>
      </c>
      <c r="C58" s="473" t="s">
        <v>622</v>
      </c>
      <c r="D58" s="470" t="s">
        <v>1643</v>
      </c>
      <c r="E58" s="479" t="s">
        <v>774</v>
      </c>
      <c r="F58" s="479"/>
      <c r="G58" s="478"/>
      <c r="H58" s="477"/>
      <c r="I58" s="200"/>
      <c r="J58" s="200"/>
      <c r="K58" s="41"/>
      <c r="L58" s="498">
        <f t="shared" ref="L58:N58" si="43">L59+L60+L61</f>
        <v>31.635</v>
      </c>
      <c r="M58" s="498">
        <f t="shared" si="43"/>
        <v>3.47985</v>
      </c>
      <c r="N58" s="498">
        <f t="shared" si="43"/>
        <v>35.11485</v>
      </c>
      <c r="O58" s="499">
        <f t="shared" si="9"/>
        <v>70.2297</v>
      </c>
      <c r="P58" s="236"/>
      <c r="Z58" s="168"/>
    </row>
    <row r="59" ht="18" customHeight="1" outlineLevel="4" spans="2:26">
      <c r="B59" s="470" t="s">
        <v>1644</v>
      </c>
      <c r="C59" s="473"/>
      <c r="D59" s="476" t="s">
        <v>1645</v>
      </c>
      <c r="E59" s="479"/>
      <c r="F59" s="479" t="s">
        <v>505</v>
      </c>
      <c r="G59" s="478">
        <v>1</v>
      </c>
      <c r="H59" s="477" t="s">
        <v>655</v>
      </c>
      <c r="I59" s="475">
        <f>$E$2</f>
        <v>5000</v>
      </c>
      <c r="J59" s="200">
        <v>8.27</v>
      </c>
      <c r="K59" s="497">
        <v>0.11</v>
      </c>
      <c r="L59" s="496">
        <f t="shared" ref="L59:L61" si="44">J59*I59*G59/10000</f>
        <v>4.135</v>
      </c>
      <c r="M59" s="496">
        <f t="shared" ref="M59:M61" si="45">L59*K59</f>
        <v>0.45485</v>
      </c>
      <c r="N59" s="498">
        <f t="shared" ref="N59:N61" si="46">M59+L59</f>
        <v>4.58985</v>
      </c>
      <c r="O59" s="499">
        <f t="shared" si="9"/>
        <v>9.1797</v>
      </c>
      <c r="P59" s="236"/>
      <c r="Z59" s="168"/>
    </row>
    <row r="60" ht="16.5" customHeight="1" outlineLevel="4" spans="2:26">
      <c r="B60" s="470" t="s">
        <v>1646</v>
      </c>
      <c r="C60" s="473"/>
      <c r="D60" s="476" t="s">
        <v>1647</v>
      </c>
      <c r="E60" s="290"/>
      <c r="F60" s="290" t="s">
        <v>1537</v>
      </c>
      <c r="G60" s="478">
        <v>1</v>
      </c>
      <c r="H60" s="477" t="s">
        <v>655</v>
      </c>
      <c r="I60" s="475">
        <f>$E$2*(1+$F$2)</f>
        <v>5000</v>
      </c>
      <c r="J60" s="200">
        <v>25</v>
      </c>
      <c r="K60" s="497">
        <v>0.11</v>
      </c>
      <c r="L60" s="496">
        <f t="shared" si="44"/>
        <v>12.5</v>
      </c>
      <c r="M60" s="496">
        <f t="shared" si="45"/>
        <v>1.375</v>
      </c>
      <c r="N60" s="498">
        <f t="shared" si="46"/>
        <v>13.875</v>
      </c>
      <c r="O60" s="499">
        <f t="shared" si="9"/>
        <v>27.75</v>
      </c>
      <c r="P60" s="236"/>
      <c r="Z60" s="168"/>
    </row>
    <row r="61" ht="16.5" customHeight="1" outlineLevel="4" spans="2:26">
      <c r="B61" s="470" t="s">
        <v>1648</v>
      </c>
      <c r="C61" s="473"/>
      <c r="D61" s="476" t="s">
        <v>1649</v>
      </c>
      <c r="E61" s="290"/>
      <c r="F61" s="290" t="s">
        <v>1537</v>
      </c>
      <c r="G61" s="478">
        <v>1</v>
      </c>
      <c r="H61" s="477" t="s">
        <v>655</v>
      </c>
      <c r="I61" s="475">
        <f>$E$2*(1+$F$2)</f>
        <v>5000</v>
      </c>
      <c r="J61" s="200">
        <v>30</v>
      </c>
      <c r="K61" s="497">
        <v>0.11</v>
      </c>
      <c r="L61" s="496">
        <f t="shared" si="44"/>
        <v>15</v>
      </c>
      <c r="M61" s="496">
        <f t="shared" si="45"/>
        <v>1.65</v>
      </c>
      <c r="N61" s="498">
        <f t="shared" si="46"/>
        <v>16.65</v>
      </c>
      <c r="O61" s="499">
        <f t="shared" si="9"/>
        <v>33.3</v>
      </c>
      <c r="P61" s="236"/>
      <c r="Z61" s="168"/>
    </row>
    <row r="62" ht="16.5" customHeight="1" outlineLevel="1" spans="2:26">
      <c r="B62" s="121" t="s">
        <v>537</v>
      </c>
      <c r="C62" s="193">
        <v>2</v>
      </c>
      <c r="D62" s="121" t="s">
        <v>538</v>
      </c>
      <c r="E62" s="193"/>
      <c r="F62" s="193"/>
      <c r="G62" s="193"/>
      <c r="H62" s="155"/>
      <c r="I62" s="492"/>
      <c r="J62" s="155"/>
      <c r="K62" s="493"/>
      <c r="L62" s="494">
        <f t="shared" ref="L62:N62" si="47">L63+L80</f>
        <v>72.2574245350166</v>
      </c>
      <c r="M62" s="494">
        <f t="shared" si="47"/>
        <v>8.13051049243013</v>
      </c>
      <c r="N62" s="494">
        <f t="shared" si="47"/>
        <v>80.3879350274467</v>
      </c>
      <c r="O62" s="495">
        <f t="shared" si="9"/>
        <v>160.775870054893</v>
      </c>
      <c r="P62" s="233"/>
      <c r="Z62" s="168"/>
    </row>
    <row r="63" ht="16.5" customHeight="1" outlineLevel="2" spans="2:26">
      <c r="B63" s="470" t="s">
        <v>1650</v>
      </c>
      <c r="C63" s="471" t="s">
        <v>619</v>
      </c>
      <c r="D63" s="470" t="s">
        <v>1651</v>
      </c>
      <c r="E63" s="479"/>
      <c r="F63" s="479"/>
      <c r="G63" s="198"/>
      <c r="H63" s="108"/>
      <c r="I63" s="200"/>
      <c r="J63" s="200"/>
      <c r="K63" s="41"/>
      <c r="L63" s="498">
        <f t="shared" ref="L63:N63" si="48">L64+L65+L66+L67+L68+L69+L70+L71+L72+L73+L74+L75+L76+L77+L78+L79</f>
        <v>51.8917922719651</v>
      </c>
      <c r="M63" s="498">
        <f t="shared" si="48"/>
        <v>5.76809714991616</v>
      </c>
      <c r="N63" s="498">
        <f t="shared" si="48"/>
        <v>57.6598894218813</v>
      </c>
      <c r="O63" s="499">
        <f t="shared" si="9"/>
        <v>115.319778843763</v>
      </c>
      <c r="P63" s="236"/>
      <c r="Z63" s="168"/>
    </row>
    <row r="64" ht="16.5" customHeight="1" outlineLevel="3" spans="2:26">
      <c r="B64" s="470" t="s">
        <v>1652</v>
      </c>
      <c r="C64" s="473" t="s">
        <v>622</v>
      </c>
      <c r="D64" s="470" t="s">
        <v>1653</v>
      </c>
      <c r="E64" s="290" t="s">
        <v>774</v>
      </c>
      <c r="F64" s="290" t="s">
        <v>1537</v>
      </c>
      <c r="G64" s="200">
        <v>1</v>
      </c>
      <c r="H64" s="108" t="s">
        <v>655</v>
      </c>
      <c r="I64" s="475">
        <f>$E$2*(1+$F$2)</f>
        <v>5000</v>
      </c>
      <c r="J64" s="200">
        <f>30.64+2</f>
        <v>32.64</v>
      </c>
      <c r="K64" s="497">
        <v>0.11</v>
      </c>
      <c r="L64" s="496">
        <f t="shared" ref="L64:L79" si="49">J64*I64*G64/10000</f>
        <v>16.32</v>
      </c>
      <c r="M64" s="496">
        <f t="shared" ref="M64:M79" si="50">L64*K64</f>
        <v>1.7952</v>
      </c>
      <c r="N64" s="498">
        <f t="shared" ref="N64:N79" si="51">M64+L64</f>
        <v>18.1152</v>
      </c>
      <c r="O64" s="499">
        <f t="shared" si="9"/>
        <v>36.2304</v>
      </c>
      <c r="P64" s="236"/>
      <c r="Z64" s="168"/>
    </row>
    <row r="65" ht="16.5" customHeight="1" outlineLevel="3" spans="2:26">
      <c r="B65" s="470" t="s">
        <v>1654</v>
      </c>
      <c r="C65" s="473" t="s">
        <v>622</v>
      </c>
      <c r="D65" s="470" t="s">
        <v>1655</v>
      </c>
      <c r="E65" s="479" t="s">
        <v>880</v>
      </c>
      <c r="F65" s="479" t="s">
        <v>601</v>
      </c>
      <c r="G65" s="200">
        <v>1</v>
      </c>
      <c r="H65" s="108" t="s">
        <v>1681</v>
      </c>
      <c r="I65" s="200">
        <f>$H$2</f>
        <v>0</v>
      </c>
      <c r="J65" s="200">
        <v>184.7</v>
      </c>
      <c r="K65" s="41">
        <v>0.11</v>
      </c>
      <c r="L65" s="496">
        <f t="shared" si="49"/>
        <v>0</v>
      </c>
      <c r="M65" s="496">
        <f t="shared" si="50"/>
        <v>0</v>
      </c>
      <c r="N65" s="498">
        <f t="shared" si="51"/>
        <v>0</v>
      </c>
      <c r="O65" s="499">
        <f t="shared" si="9"/>
        <v>0</v>
      </c>
      <c r="P65" s="236"/>
      <c r="Z65" s="168"/>
    </row>
    <row r="66" ht="16.5" customHeight="1" outlineLevel="3" spans="2:26">
      <c r="B66" s="470" t="s">
        <v>1656</v>
      </c>
      <c r="C66" s="473" t="s">
        <v>622</v>
      </c>
      <c r="D66" s="470" t="s">
        <v>1657</v>
      </c>
      <c r="E66" s="479" t="s">
        <v>891</v>
      </c>
      <c r="F66" s="479" t="s">
        <v>601</v>
      </c>
      <c r="G66" s="200">
        <v>49.63</v>
      </c>
      <c r="H66" s="108" t="s">
        <v>1637</v>
      </c>
      <c r="I66" s="200">
        <f>$H$2</f>
        <v>0</v>
      </c>
      <c r="J66" s="200">
        <v>16</v>
      </c>
      <c r="K66" s="41">
        <v>0.17</v>
      </c>
      <c r="L66" s="496">
        <f t="shared" si="49"/>
        <v>0</v>
      </c>
      <c r="M66" s="496">
        <f t="shared" si="50"/>
        <v>0</v>
      </c>
      <c r="N66" s="498">
        <f t="shared" si="51"/>
        <v>0</v>
      </c>
      <c r="O66" s="499">
        <f t="shared" si="9"/>
        <v>0</v>
      </c>
      <c r="P66" s="236"/>
      <c r="Z66" s="168"/>
    </row>
    <row r="67" ht="16.5" customHeight="1" outlineLevel="3" spans="2:26">
      <c r="B67" s="470" t="s">
        <v>1658</v>
      </c>
      <c r="C67" s="473" t="s">
        <v>622</v>
      </c>
      <c r="D67" s="470" t="s">
        <v>1659</v>
      </c>
      <c r="E67" s="479" t="s">
        <v>891</v>
      </c>
      <c r="F67" s="479" t="s">
        <v>601</v>
      </c>
      <c r="G67" s="200">
        <v>44.31</v>
      </c>
      <c r="H67" s="108" t="s">
        <v>1637</v>
      </c>
      <c r="I67" s="200">
        <f>$H$2</f>
        <v>0</v>
      </c>
      <c r="J67" s="200">
        <v>35</v>
      </c>
      <c r="K67" s="41">
        <v>0.17</v>
      </c>
      <c r="L67" s="496">
        <f t="shared" si="49"/>
        <v>0</v>
      </c>
      <c r="M67" s="496">
        <f t="shared" si="50"/>
        <v>0</v>
      </c>
      <c r="N67" s="498">
        <f t="shared" si="51"/>
        <v>0</v>
      </c>
      <c r="O67" s="499">
        <f t="shared" si="9"/>
        <v>0</v>
      </c>
      <c r="P67" s="236"/>
      <c r="Z67" s="168"/>
    </row>
    <row r="68" ht="16.5" customHeight="1" outlineLevel="3" spans="2:26">
      <c r="B68" s="470" t="s">
        <v>1660</v>
      </c>
      <c r="C68" s="473" t="s">
        <v>622</v>
      </c>
      <c r="D68" s="470" t="s">
        <v>1977</v>
      </c>
      <c r="E68" s="479" t="s">
        <v>774</v>
      </c>
      <c r="F68" s="479" t="s">
        <v>505</v>
      </c>
      <c r="G68" s="200">
        <v>1</v>
      </c>
      <c r="H68" s="108" t="s">
        <v>655</v>
      </c>
      <c r="I68" s="200">
        <f>$E$2</f>
        <v>5000</v>
      </c>
      <c r="J68" s="475">
        <v>6.3</v>
      </c>
      <c r="K68" s="41">
        <v>0.11</v>
      </c>
      <c r="L68" s="496">
        <f t="shared" si="49"/>
        <v>3.15</v>
      </c>
      <c r="M68" s="496">
        <f t="shared" si="50"/>
        <v>0.3465</v>
      </c>
      <c r="N68" s="498">
        <f t="shared" si="51"/>
        <v>3.4965</v>
      </c>
      <c r="O68" s="499">
        <f t="shared" si="9"/>
        <v>6.993</v>
      </c>
      <c r="P68" s="236"/>
      <c r="Z68" s="168"/>
    </row>
    <row r="69" ht="16.5" customHeight="1" outlineLevel="3" spans="2:26">
      <c r="B69" s="470" t="s">
        <v>1662</v>
      </c>
      <c r="C69" s="473" t="s">
        <v>622</v>
      </c>
      <c r="D69" s="470" t="s">
        <v>1663</v>
      </c>
      <c r="E69" s="479"/>
      <c r="F69" s="479"/>
      <c r="G69" s="200">
        <v>1</v>
      </c>
      <c r="H69" s="108" t="s">
        <v>655</v>
      </c>
      <c r="I69" s="200"/>
      <c r="J69" s="200"/>
      <c r="K69" s="41">
        <v>0.11</v>
      </c>
      <c r="L69" s="496">
        <f t="shared" si="49"/>
        <v>0</v>
      </c>
      <c r="M69" s="496">
        <f t="shared" si="50"/>
        <v>0</v>
      </c>
      <c r="N69" s="498">
        <f t="shared" si="51"/>
        <v>0</v>
      </c>
      <c r="O69" s="499">
        <f t="shared" si="9"/>
        <v>0</v>
      </c>
      <c r="P69" s="236"/>
      <c r="Z69" s="168"/>
    </row>
    <row r="70" ht="16.5" customHeight="1" outlineLevel="3" spans="2:26">
      <c r="B70" s="470" t="s">
        <v>1664</v>
      </c>
      <c r="C70" s="473" t="s">
        <v>622</v>
      </c>
      <c r="D70" s="470" t="s">
        <v>1665</v>
      </c>
      <c r="E70" s="479" t="s">
        <v>774</v>
      </c>
      <c r="F70" s="479"/>
      <c r="G70" s="200">
        <v>1</v>
      </c>
      <c r="H70" s="108" t="s">
        <v>655</v>
      </c>
      <c r="I70" s="200"/>
      <c r="J70" s="200"/>
      <c r="K70" s="41">
        <v>0.11</v>
      </c>
      <c r="L70" s="496">
        <f t="shared" si="49"/>
        <v>0</v>
      </c>
      <c r="M70" s="496">
        <f t="shared" si="50"/>
        <v>0</v>
      </c>
      <c r="N70" s="498">
        <f t="shared" si="51"/>
        <v>0</v>
      </c>
      <c r="O70" s="499">
        <f t="shared" si="9"/>
        <v>0</v>
      </c>
      <c r="P70" s="236"/>
      <c r="Z70" s="168"/>
    </row>
    <row r="71" ht="16.5" customHeight="1" outlineLevel="3" spans="2:26">
      <c r="B71" s="470" t="s">
        <v>1666</v>
      </c>
      <c r="C71" s="473" t="s">
        <v>622</v>
      </c>
      <c r="D71" s="470" t="s">
        <v>1667</v>
      </c>
      <c r="E71" s="479" t="s">
        <v>913</v>
      </c>
      <c r="F71" s="479" t="s">
        <v>601</v>
      </c>
      <c r="G71" s="200">
        <v>1</v>
      </c>
      <c r="H71" s="108" t="s">
        <v>1668</v>
      </c>
      <c r="I71" s="200">
        <f>$H$2</f>
        <v>0</v>
      </c>
      <c r="J71" s="200">
        <v>2800</v>
      </c>
      <c r="K71" s="41">
        <v>0.11</v>
      </c>
      <c r="L71" s="496">
        <f t="shared" si="49"/>
        <v>0</v>
      </c>
      <c r="M71" s="496">
        <f t="shared" si="50"/>
        <v>0</v>
      </c>
      <c r="N71" s="498">
        <f t="shared" si="51"/>
        <v>0</v>
      </c>
      <c r="O71" s="499">
        <f t="shared" si="9"/>
        <v>0</v>
      </c>
      <c r="P71" s="236"/>
      <c r="Z71" s="168"/>
    </row>
    <row r="72" ht="16.5" customHeight="1" outlineLevel="3" spans="2:26">
      <c r="B72" s="470" t="s">
        <v>1669</v>
      </c>
      <c r="C72" s="473" t="s">
        <v>622</v>
      </c>
      <c r="D72" s="470" t="s">
        <v>1670</v>
      </c>
      <c r="E72" s="290" t="s">
        <v>774</v>
      </c>
      <c r="F72" s="290" t="s">
        <v>1537</v>
      </c>
      <c r="G72" s="200">
        <v>1</v>
      </c>
      <c r="H72" s="108" t="s">
        <v>655</v>
      </c>
      <c r="I72" s="475">
        <f>$E$2*(1+$F$2)</f>
        <v>5000</v>
      </c>
      <c r="J72" s="200">
        <f>60.7514325864336+2.0921519574966</f>
        <v>62.8435845439302</v>
      </c>
      <c r="K72" s="497">
        <v>0.11</v>
      </c>
      <c r="L72" s="496">
        <f t="shared" si="49"/>
        <v>31.4217922719651</v>
      </c>
      <c r="M72" s="496">
        <f t="shared" si="50"/>
        <v>3.45639714991616</v>
      </c>
      <c r="N72" s="498">
        <f t="shared" si="51"/>
        <v>34.8781894218813</v>
      </c>
      <c r="O72" s="499">
        <f t="shared" si="9"/>
        <v>69.7563788437625</v>
      </c>
      <c r="P72" s="236"/>
      <c r="Z72" s="168"/>
    </row>
    <row r="73" ht="16.5" customHeight="1" outlineLevel="3" spans="2:26">
      <c r="B73" s="470" t="s">
        <v>1671</v>
      </c>
      <c r="C73" s="473" t="s">
        <v>622</v>
      </c>
      <c r="D73" s="470" t="s">
        <v>1672</v>
      </c>
      <c r="E73" s="479" t="s">
        <v>891</v>
      </c>
      <c r="F73" s="479" t="s">
        <v>601</v>
      </c>
      <c r="G73" s="502">
        <v>339</v>
      </c>
      <c r="H73" s="503" t="s">
        <v>1637</v>
      </c>
      <c r="I73" s="200">
        <f>$H$2</f>
        <v>0</v>
      </c>
      <c r="J73" s="514">
        <v>1.85</v>
      </c>
      <c r="K73" s="41">
        <v>0.17</v>
      </c>
      <c r="L73" s="496">
        <f t="shared" si="49"/>
        <v>0</v>
      </c>
      <c r="M73" s="496">
        <f t="shared" si="50"/>
        <v>0</v>
      </c>
      <c r="N73" s="498">
        <f t="shared" si="51"/>
        <v>0</v>
      </c>
      <c r="O73" s="499">
        <f t="shared" si="9"/>
        <v>0</v>
      </c>
      <c r="P73" s="236"/>
      <c r="Z73" s="168"/>
    </row>
    <row r="74" ht="16.5" customHeight="1" outlineLevel="3" spans="2:26">
      <c r="B74" s="470" t="s">
        <v>1673</v>
      </c>
      <c r="C74" s="473" t="s">
        <v>622</v>
      </c>
      <c r="D74" s="470" t="s">
        <v>1674</v>
      </c>
      <c r="E74" s="479" t="s">
        <v>943</v>
      </c>
      <c r="F74" s="479" t="s">
        <v>601</v>
      </c>
      <c r="G74" s="200">
        <v>678</v>
      </c>
      <c r="H74" s="108" t="s">
        <v>1637</v>
      </c>
      <c r="I74" s="200">
        <f>$H$2</f>
        <v>0</v>
      </c>
      <c r="J74" s="200">
        <v>4</v>
      </c>
      <c r="K74" s="41">
        <v>0.17</v>
      </c>
      <c r="L74" s="496">
        <f t="shared" si="49"/>
        <v>0</v>
      </c>
      <c r="M74" s="496">
        <f t="shared" si="50"/>
        <v>0</v>
      </c>
      <c r="N74" s="498">
        <f t="shared" si="51"/>
        <v>0</v>
      </c>
      <c r="O74" s="499">
        <f t="shared" si="9"/>
        <v>0</v>
      </c>
      <c r="P74" s="236"/>
      <c r="Z74" s="168"/>
    </row>
    <row r="75" ht="16.5" customHeight="1" outlineLevel="3" spans="2:26">
      <c r="B75" s="470" t="s">
        <v>1675</v>
      </c>
      <c r="C75" s="473" t="s">
        <v>622</v>
      </c>
      <c r="D75" s="470" t="s">
        <v>1676</v>
      </c>
      <c r="E75" s="479" t="s">
        <v>943</v>
      </c>
      <c r="F75" s="479" t="s">
        <v>601</v>
      </c>
      <c r="G75" s="200">
        <v>11</v>
      </c>
      <c r="H75" s="108" t="s">
        <v>1637</v>
      </c>
      <c r="I75" s="200">
        <f>$H$2</f>
        <v>0</v>
      </c>
      <c r="J75" s="200">
        <v>205</v>
      </c>
      <c r="K75" s="41">
        <v>0.17</v>
      </c>
      <c r="L75" s="496">
        <f t="shared" si="49"/>
        <v>0</v>
      </c>
      <c r="M75" s="496">
        <f t="shared" si="50"/>
        <v>0</v>
      </c>
      <c r="N75" s="498">
        <f t="shared" si="51"/>
        <v>0</v>
      </c>
      <c r="O75" s="499">
        <f t="shared" si="9"/>
        <v>0</v>
      </c>
      <c r="P75" s="236"/>
      <c r="Z75" s="168"/>
    </row>
    <row r="76" ht="16.5" customHeight="1" outlineLevel="3" spans="2:26">
      <c r="B76" s="470" t="s">
        <v>1677</v>
      </c>
      <c r="C76" s="473" t="s">
        <v>622</v>
      </c>
      <c r="D76" s="470" t="s">
        <v>1678</v>
      </c>
      <c r="E76" s="479" t="s">
        <v>1359</v>
      </c>
      <c r="F76" s="479" t="s">
        <v>601</v>
      </c>
      <c r="G76" s="200">
        <v>1</v>
      </c>
      <c r="H76" s="108" t="s">
        <v>1681</v>
      </c>
      <c r="I76" s="200">
        <f>$H$2</f>
        <v>0</v>
      </c>
      <c r="J76" s="200">
        <v>480</v>
      </c>
      <c r="K76" s="41">
        <v>0.17</v>
      </c>
      <c r="L76" s="496">
        <f t="shared" si="49"/>
        <v>0</v>
      </c>
      <c r="M76" s="496">
        <f t="shared" si="50"/>
        <v>0</v>
      </c>
      <c r="N76" s="498">
        <f t="shared" si="51"/>
        <v>0</v>
      </c>
      <c r="O76" s="499">
        <f t="shared" si="9"/>
        <v>0</v>
      </c>
      <c r="P76" s="236"/>
      <c r="Z76" s="168"/>
    </row>
    <row r="77" ht="16.5" customHeight="1" outlineLevel="3" spans="2:26">
      <c r="B77" s="470" t="s">
        <v>1679</v>
      </c>
      <c r="C77" s="473" t="s">
        <v>622</v>
      </c>
      <c r="D77" s="470" t="s">
        <v>1978</v>
      </c>
      <c r="E77" s="479" t="s">
        <v>1359</v>
      </c>
      <c r="F77" s="290" t="s">
        <v>1537</v>
      </c>
      <c r="G77" s="200">
        <v>1</v>
      </c>
      <c r="H77" s="108" t="s">
        <v>655</v>
      </c>
      <c r="I77" s="475">
        <f>$E$2*(1+$F$2)</f>
        <v>5000</v>
      </c>
      <c r="J77" s="200">
        <v>2</v>
      </c>
      <c r="K77" s="497">
        <v>0.17</v>
      </c>
      <c r="L77" s="496">
        <f t="shared" si="49"/>
        <v>1</v>
      </c>
      <c r="M77" s="496">
        <f t="shared" si="50"/>
        <v>0.17</v>
      </c>
      <c r="N77" s="498">
        <f t="shared" si="51"/>
        <v>1.17</v>
      </c>
      <c r="O77" s="499">
        <f t="shared" ref="O77:O117" si="52">IF(N77="","",N77*10000/E$2)</f>
        <v>2.34</v>
      </c>
      <c r="P77" s="236"/>
      <c r="Z77" s="168"/>
    </row>
    <row r="78" ht="16.5" customHeight="1" outlineLevel="3" spans="2:26">
      <c r="B78" s="470" t="s">
        <v>1682</v>
      </c>
      <c r="C78" s="473" t="s">
        <v>622</v>
      </c>
      <c r="D78" s="470" t="s">
        <v>1683</v>
      </c>
      <c r="E78" s="504" t="s">
        <v>928</v>
      </c>
      <c r="F78" s="479" t="s">
        <v>601</v>
      </c>
      <c r="G78" s="200">
        <v>1</v>
      </c>
      <c r="H78" s="108" t="s">
        <v>1681</v>
      </c>
      <c r="I78" s="200">
        <f>$H$2</f>
        <v>0</v>
      </c>
      <c r="J78" s="200">
        <v>900</v>
      </c>
      <c r="K78" s="41">
        <v>0.17</v>
      </c>
      <c r="L78" s="496">
        <f t="shared" si="49"/>
        <v>0</v>
      </c>
      <c r="M78" s="496">
        <f t="shared" si="50"/>
        <v>0</v>
      </c>
      <c r="N78" s="498">
        <f t="shared" si="51"/>
        <v>0</v>
      </c>
      <c r="O78" s="499">
        <f t="shared" si="52"/>
        <v>0</v>
      </c>
      <c r="P78" s="236"/>
      <c r="Z78" s="168"/>
    </row>
    <row r="79" ht="16.5" customHeight="1" outlineLevel="3" spans="2:26">
      <c r="B79" s="470" t="s">
        <v>1684</v>
      </c>
      <c r="C79" s="473" t="s">
        <v>622</v>
      </c>
      <c r="D79" s="470" t="s">
        <v>1997</v>
      </c>
      <c r="E79" s="479" t="s">
        <v>774</v>
      </c>
      <c r="F79" s="479" t="s">
        <v>505</v>
      </c>
      <c r="G79" s="200">
        <v>1</v>
      </c>
      <c r="H79" s="108" t="s">
        <v>655</v>
      </c>
      <c r="I79" s="200"/>
      <c r="J79" s="200"/>
      <c r="K79" s="41">
        <v>0.11</v>
      </c>
      <c r="L79" s="496">
        <f t="shared" si="49"/>
        <v>0</v>
      </c>
      <c r="M79" s="496">
        <f t="shared" si="50"/>
        <v>0</v>
      </c>
      <c r="N79" s="498">
        <f t="shared" si="51"/>
        <v>0</v>
      </c>
      <c r="O79" s="499">
        <f t="shared" si="52"/>
        <v>0</v>
      </c>
      <c r="P79" s="236"/>
      <c r="Z79" s="168"/>
    </row>
    <row r="80" ht="16.5" customHeight="1" outlineLevel="2" spans="2:26">
      <c r="B80" s="470" t="s">
        <v>1686</v>
      </c>
      <c r="C80" s="471" t="s">
        <v>657</v>
      </c>
      <c r="D80" s="470" t="s">
        <v>1687</v>
      </c>
      <c r="E80" s="479"/>
      <c r="F80" s="479"/>
      <c r="G80" s="198"/>
      <c r="H80" s="108"/>
      <c r="I80" s="200"/>
      <c r="J80" s="200"/>
      <c r="K80" s="41"/>
      <c r="L80" s="515">
        <f t="shared" ref="L80:N80" si="53">L81+L82+L83+L84+L85+L86+L87</f>
        <v>20.3656322630515</v>
      </c>
      <c r="M80" s="515">
        <f t="shared" si="53"/>
        <v>2.36241334251397</v>
      </c>
      <c r="N80" s="515">
        <f t="shared" si="53"/>
        <v>22.7280456055655</v>
      </c>
      <c r="O80" s="499">
        <f t="shared" si="52"/>
        <v>45.4560912111309</v>
      </c>
      <c r="P80" s="236"/>
      <c r="Z80" s="168"/>
    </row>
    <row r="81" ht="16.5" customHeight="1" outlineLevel="3" spans="2:26">
      <c r="B81" s="470" t="s">
        <v>1688</v>
      </c>
      <c r="C81" s="473" t="s">
        <v>622</v>
      </c>
      <c r="D81" s="470" t="s">
        <v>1689</v>
      </c>
      <c r="E81" s="479" t="s">
        <v>1360</v>
      </c>
      <c r="F81" s="479" t="s">
        <v>602</v>
      </c>
      <c r="G81" s="200">
        <v>2</v>
      </c>
      <c r="H81" s="108" t="s">
        <v>1690</v>
      </c>
      <c r="I81" s="200">
        <f>$I$2</f>
        <v>0</v>
      </c>
      <c r="J81" s="516">
        <f>370000*0.8</f>
        <v>296000</v>
      </c>
      <c r="K81" s="41">
        <v>0.17</v>
      </c>
      <c r="L81" s="496">
        <f t="shared" ref="L81:L87" si="54">J81*I81*G81/10000</f>
        <v>0</v>
      </c>
      <c r="M81" s="496">
        <f t="shared" ref="M81:M87" si="55">L81*K81</f>
        <v>0</v>
      </c>
      <c r="N81" s="498">
        <f t="shared" ref="N81:N87" si="56">M81+L81</f>
        <v>0</v>
      </c>
      <c r="O81" s="499">
        <f t="shared" si="52"/>
        <v>0</v>
      </c>
      <c r="P81" s="236"/>
      <c r="Z81" s="168"/>
    </row>
    <row r="82" ht="16.5" customHeight="1" outlineLevel="3" spans="2:26">
      <c r="B82" s="470" t="s">
        <v>1691</v>
      </c>
      <c r="C82" s="473" t="s">
        <v>622</v>
      </c>
      <c r="D82" s="470" t="s">
        <v>1692</v>
      </c>
      <c r="E82" s="479" t="s">
        <v>1361</v>
      </c>
      <c r="F82" s="479" t="s">
        <v>602</v>
      </c>
      <c r="G82" s="200">
        <v>2</v>
      </c>
      <c r="H82" s="108" t="s">
        <v>1690</v>
      </c>
      <c r="I82" s="200">
        <f>$I$2</f>
        <v>0</v>
      </c>
      <c r="J82" s="516">
        <f>370000*0.2</f>
        <v>74000</v>
      </c>
      <c r="K82" s="41">
        <v>0.11</v>
      </c>
      <c r="L82" s="496">
        <f t="shared" si="54"/>
        <v>0</v>
      </c>
      <c r="M82" s="496">
        <f t="shared" si="55"/>
        <v>0</v>
      </c>
      <c r="N82" s="498">
        <f t="shared" si="56"/>
        <v>0</v>
      </c>
      <c r="O82" s="499">
        <f t="shared" si="52"/>
        <v>0</v>
      </c>
      <c r="P82" s="236"/>
      <c r="Z82" s="168"/>
    </row>
    <row r="83" ht="16.5" customHeight="1" outlineLevel="3" spans="2:26">
      <c r="B83" s="470" t="s">
        <v>1693</v>
      </c>
      <c r="C83" s="473" t="s">
        <v>622</v>
      </c>
      <c r="D83" s="470" t="s">
        <v>1694</v>
      </c>
      <c r="E83" s="290" t="s">
        <v>931</v>
      </c>
      <c r="F83" s="290" t="s">
        <v>1537</v>
      </c>
      <c r="G83" s="200">
        <v>1</v>
      </c>
      <c r="H83" s="108" t="s">
        <v>655</v>
      </c>
      <c r="I83" s="475">
        <f>$E$2*(1+$F$2)</f>
        <v>5000</v>
      </c>
      <c r="J83" s="200">
        <f>40.731264526103*0.9</f>
        <v>36.6581380734927</v>
      </c>
      <c r="K83" s="497">
        <v>0.11</v>
      </c>
      <c r="L83" s="496">
        <f t="shared" si="54"/>
        <v>18.3290690367464</v>
      </c>
      <c r="M83" s="496">
        <f t="shared" si="55"/>
        <v>2.0161975940421</v>
      </c>
      <c r="N83" s="498">
        <f t="shared" si="56"/>
        <v>20.3452666307884</v>
      </c>
      <c r="O83" s="499">
        <f t="shared" si="52"/>
        <v>40.6905332615769</v>
      </c>
      <c r="P83" s="236"/>
      <c r="Z83" s="168"/>
    </row>
    <row r="84" ht="16.5" customHeight="1" outlineLevel="3" spans="2:26">
      <c r="B84" s="470" t="s">
        <v>1695</v>
      </c>
      <c r="C84" s="473" t="s">
        <v>622</v>
      </c>
      <c r="D84" s="470" t="s">
        <v>1696</v>
      </c>
      <c r="E84" s="290" t="s">
        <v>943</v>
      </c>
      <c r="F84" s="290" t="s">
        <v>1537</v>
      </c>
      <c r="G84" s="200">
        <v>1</v>
      </c>
      <c r="H84" s="108" t="s">
        <v>655</v>
      </c>
      <c r="I84" s="475">
        <f>$E$2*(1+$F$2)</f>
        <v>5000</v>
      </c>
      <c r="J84" s="200">
        <f>40.731264526103*0.1</f>
        <v>4.0731264526103</v>
      </c>
      <c r="K84" s="497">
        <v>0.17</v>
      </c>
      <c r="L84" s="496">
        <f t="shared" si="54"/>
        <v>2.03656322630515</v>
      </c>
      <c r="M84" s="496">
        <f t="shared" si="55"/>
        <v>0.346215748471875</v>
      </c>
      <c r="N84" s="498">
        <f t="shared" si="56"/>
        <v>2.38277897477703</v>
      </c>
      <c r="O84" s="499">
        <f t="shared" si="52"/>
        <v>4.76555794955405</v>
      </c>
      <c r="P84" s="236"/>
      <c r="Z84" s="168"/>
    </row>
    <row r="85" ht="16.5" customHeight="1" outlineLevel="3" spans="2:26">
      <c r="B85" s="470" t="s">
        <v>1697</v>
      </c>
      <c r="C85" s="473" t="s">
        <v>622</v>
      </c>
      <c r="D85" s="470" t="s">
        <v>1698</v>
      </c>
      <c r="E85" s="479" t="s">
        <v>1406</v>
      </c>
      <c r="F85" s="479" t="s">
        <v>505</v>
      </c>
      <c r="G85" s="200">
        <v>1</v>
      </c>
      <c r="H85" s="108" t="s">
        <v>655</v>
      </c>
      <c r="I85" s="200"/>
      <c r="J85" s="200"/>
      <c r="K85" s="41">
        <v>0.11</v>
      </c>
      <c r="L85" s="496">
        <f t="shared" si="54"/>
        <v>0</v>
      </c>
      <c r="M85" s="496">
        <f t="shared" si="55"/>
        <v>0</v>
      </c>
      <c r="N85" s="498">
        <f t="shared" si="56"/>
        <v>0</v>
      </c>
      <c r="O85" s="499">
        <f t="shared" si="52"/>
        <v>0</v>
      </c>
      <c r="P85" s="236"/>
      <c r="Z85" s="168"/>
    </row>
    <row r="86" ht="16.5" customHeight="1" outlineLevel="3" spans="2:26">
      <c r="B86" s="470" t="s">
        <v>1699</v>
      </c>
      <c r="C86" s="473" t="s">
        <v>622</v>
      </c>
      <c r="D86" s="470" t="s">
        <v>1700</v>
      </c>
      <c r="E86" s="479"/>
      <c r="F86" s="479" t="s">
        <v>505</v>
      </c>
      <c r="G86" s="200">
        <v>1</v>
      </c>
      <c r="H86" s="108" t="s">
        <v>655</v>
      </c>
      <c r="I86" s="200"/>
      <c r="J86" s="200"/>
      <c r="K86" s="41">
        <v>0.11</v>
      </c>
      <c r="L86" s="496">
        <f t="shared" si="54"/>
        <v>0</v>
      </c>
      <c r="M86" s="496">
        <f t="shared" si="55"/>
        <v>0</v>
      </c>
      <c r="N86" s="498">
        <f t="shared" si="56"/>
        <v>0</v>
      </c>
      <c r="O86" s="499">
        <f t="shared" si="52"/>
        <v>0</v>
      </c>
      <c r="P86" s="236"/>
      <c r="Z86" s="168"/>
    </row>
    <row r="87" ht="16.5" customHeight="1" outlineLevel="3" spans="2:26">
      <c r="B87" s="470" t="s">
        <v>1701</v>
      </c>
      <c r="C87" s="473" t="s">
        <v>622</v>
      </c>
      <c r="D87" s="470" t="s">
        <v>1702</v>
      </c>
      <c r="E87" s="479"/>
      <c r="F87" s="479" t="s">
        <v>505</v>
      </c>
      <c r="G87" s="200">
        <v>1</v>
      </c>
      <c r="H87" s="108" t="s">
        <v>655</v>
      </c>
      <c r="I87" s="200"/>
      <c r="J87" s="200"/>
      <c r="K87" s="41">
        <v>0.11</v>
      </c>
      <c r="L87" s="496">
        <f t="shared" si="54"/>
        <v>0</v>
      </c>
      <c r="M87" s="496">
        <f t="shared" si="55"/>
        <v>0</v>
      </c>
      <c r="N87" s="498">
        <f t="shared" si="56"/>
        <v>0</v>
      </c>
      <c r="O87" s="499">
        <f t="shared" si="52"/>
        <v>0</v>
      </c>
      <c r="P87" s="236"/>
      <c r="Z87" s="168"/>
    </row>
    <row r="88" ht="16.5" customHeight="1" spans="2:26">
      <c r="B88" s="468" t="s">
        <v>1703</v>
      </c>
      <c r="C88" s="469" t="s">
        <v>547</v>
      </c>
      <c r="D88" s="468" t="s">
        <v>482</v>
      </c>
      <c r="E88" s="192"/>
      <c r="F88" s="192"/>
      <c r="G88" s="192"/>
      <c r="H88" s="206"/>
      <c r="I88" s="488"/>
      <c r="J88" s="488"/>
      <c r="K88" s="488"/>
      <c r="L88" s="490">
        <f t="shared" ref="L88:N88" si="57">L89+L106+L110+L113</f>
        <v>0</v>
      </c>
      <c r="M88" s="490">
        <f t="shared" si="57"/>
        <v>0</v>
      </c>
      <c r="N88" s="490">
        <f t="shared" si="57"/>
        <v>0</v>
      </c>
      <c r="O88" s="491">
        <f t="shared" si="52"/>
        <v>0</v>
      </c>
      <c r="P88" s="251"/>
      <c r="Z88" s="168"/>
    </row>
    <row r="89" ht="16.5" customHeight="1" outlineLevel="1" spans="2:26">
      <c r="B89" s="505" t="s">
        <v>1704</v>
      </c>
      <c r="C89" s="506">
        <v>1</v>
      </c>
      <c r="D89" s="505" t="s">
        <v>1705</v>
      </c>
      <c r="E89" s="193"/>
      <c r="F89" s="193"/>
      <c r="G89" s="193"/>
      <c r="H89" s="155"/>
      <c r="I89" s="492"/>
      <c r="J89" s="492"/>
      <c r="K89" s="492"/>
      <c r="L89" s="494">
        <f t="shared" ref="L89:N89" si="58">L90+L91+L92+L93+L94+L95+L96+L97+L98+L99+L100+L101+L102+L103+L104+L105</f>
        <v>0</v>
      </c>
      <c r="M89" s="494">
        <f t="shared" si="58"/>
        <v>0</v>
      </c>
      <c r="N89" s="494">
        <f t="shared" si="58"/>
        <v>0</v>
      </c>
      <c r="O89" s="495">
        <f t="shared" si="52"/>
        <v>0</v>
      </c>
      <c r="P89" s="233"/>
      <c r="Z89" s="168"/>
    </row>
    <row r="90" ht="16.5" customHeight="1" outlineLevel="2" spans="2:26">
      <c r="B90" s="470" t="s">
        <v>1706</v>
      </c>
      <c r="C90" s="471" t="s">
        <v>619</v>
      </c>
      <c r="D90" s="470" t="s">
        <v>1707</v>
      </c>
      <c r="E90" s="290" t="s">
        <v>1363</v>
      </c>
      <c r="F90" s="290" t="s">
        <v>1537</v>
      </c>
      <c r="G90" s="200">
        <v>1</v>
      </c>
      <c r="H90" s="108" t="s">
        <v>655</v>
      </c>
      <c r="I90" s="475">
        <f t="shared" ref="I90:I105" si="59">$E$2*(1+$F$2)</f>
        <v>5000</v>
      </c>
      <c r="J90" s="475"/>
      <c r="K90" s="497">
        <v>0.11</v>
      </c>
      <c r="L90" s="477">
        <f t="shared" ref="L90:L105" si="60">G90*I90*J90/10000</f>
        <v>0</v>
      </c>
      <c r="M90" s="475">
        <f t="shared" ref="M90:M105" si="61">L90*K90</f>
        <v>0</v>
      </c>
      <c r="N90" s="498">
        <f t="shared" ref="N90:N105" si="62">M90+L90</f>
        <v>0</v>
      </c>
      <c r="O90" s="499">
        <f t="shared" si="52"/>
        <v>0</v>
      </c>
      <c r="P90" s="309"/>
      <c r="Z90" s="168"/>
    </row>
    <row r="91" ht="16.5" customHeight="1" outlineLevel="2" spans="2:26">
      <c r="B91" s="470" t="s">
        <v>1708</v>
      </c>
      <c r="C91" s="471" t="s">
        <v>657</v>
      </c>
      <c r="D91" s="470" t="s">
        <v>1709</v>
      </c>
      <c r="E91" s="290" t="s">
        <v>1364</v>
      </c>
      <c r="F91" s="290" t="s">
        <v>1537</v>
      </c>
      <c r="G91" s="200">
        <v>1</v>
      </c>
      <c r="H91" s="108" t="s">
        <v>655</v>
      </c>
      <c r="I91" s="475">
        <f t="shared" si="59"/>
        <v>5000</v>
      </c>
      <c r="J91" s="475"/>
      <c r="K91" s="497">
        <v>0.11</v>
      </c>
      <c r="L91" s="477">
        <f t="shared" si="60"/>
        <v>0</v>
      </c>
      <c r="M91" s="475">
        <f t="shared" si="61"/>
        <v>0</v>
      </c>
      <c r="N91" s="498">
        <f t="shared" si="62"/>
        <v>0</v>
      </c>
      <c r="O91" s="499">
        <f t="shared" si="52"/>
        <v>0</v>
      </c>
      <c r="P91" s="309"/>
      <c r="Z91" s="168"/>
    </row>
    <row r="92" ht="16.5" customHeight="1" outlineLevel="2" spans="2:26">
      <c r="B92" s="470" t="s">
        <v>1710</v>
      </c>
      <c r="C92" s="471" t="s">
        <v>762</v>
      </c>
      <c r="D92" s="470" t="s">
        <v>1711</v>
      </c>
      <c r="E92" s="290" t="s">
        <v>1365</v>
      </c>
      <c r="F92" s="290" t="s">
        <v>1537</v>
      </c>
      <c r="G92" s="200">
        <v>1</v>
      </c>
      <c r="H92" s="108" t="s">
        <v>655</v>
      </c>
      <c r="I92" s="475">
        <f t="shared" si="59"/>
        <v>5000</v>
      </c>
      <c r="J92" s="475"/>
      <c r="K92" s="497">
        <v>0.11</v>
      </c>
      <c r="L92" s="477">
        <f t="shared" si="60"/>
        <v>0</v>
      </c>
      <c r="M92" s="475">
        <f t="shared" si="61"/>
        <v>0</v>
      </c>
      <c r="N92" s="498">
        <f t="shared" si="62"/>
        <v>0</v>
      </c>
      <c r="O92" s="499">
        <f t="shared" si="52"/>
        <v>0</v>
      </c>
      <c r="P92" s="309"/>
      <c r="Z92" s="168"/>
    </row>
    <row r="93" ht="16.5" customHeight="1" outlineLevel="2" spans="2:26">
      <c r="B93" s="470" t="s">
        <v>1712</v>
      </c>
      <c r="C93" s="471" t="s">
        <v>778</v>
      </c>
      <c r="D93" s="470" t="s">
        <v>1713</v>
      </c>
      <c r="E93" s="290" t="s">
        <v>1367</v>
      </c>
      <c r="F93" s="290" t="s">
        <v>1537</v>
      </c>
      <c r="G93" s="200">
        <v>1</v>
      </c>
      <c r="H93" s="108" t="s">
        <v>655</v>
      </c>
      <c r="I93" s="475">
        <f t="shared" si="59"/>
        <v>5000</v>
      </c>
      <c r="J93" s="475"/>
      <c r="K93" s="497">
        <v>0.11</v>
      </c>
      <c r="L93" s="477">
        <f t="shared" si="60"/>
        <v>0</v>
      </c>
      <c r="M93" s="475">
        <f t="shared" si="61"/>
        <v>0</v>
      </c>
      <c r="N93" s="498">
        <f t="shared" si="62"/>
        <v>0</v>
      </c>
      <c r="O93" s="499">
        <f t="shared" si="52"/>
        <v>0</v>
      </c>
      <c r="P93" s="309"/>
      <c r="Z93" s="168"/>
    </row>
    <row r="94" ht="16.5" customHeight="1" outlineLevel="2" spans="2:26">
      <c r="B94" s="470" t="s">
        <v>1714</v>
      </c>
      <c r="C94" s="471" t="s">
        <v>781</v>
      </c>
      <c r="D94" s="470" t="s">
        <v>1715</v>
      </c>
      <c r="E94" s="290" t="s">
        <v>1368</v>
      </c>
      <c r="F94" s="290" t="s">
        <v>1537</v>
      </c>
      <c r="G94" s="200">
        <v>1</v>
      </c>
      <c r="H94" s="108" t="s">
        <v>655</v>
      </c>
      <c r="I94" s="475">
        <f t="shared" si="59"/>
        <v>5000</v>
      </c>
      <c r="J94" s="475"/>
      <c r="K94" s="497">
        <v>0.11</v>
      </c>
      <c r="L94" s="477">
        <f t="shared" si="60"/>
        <v>0</v>
      </c>
      <c r="M94" s="475">
        <f t="shared" si="61"/>
        <v>0</v>
      </c>
      <c r="N94" s="498">
        <f t="shared" si="62"/>
        <v>0</v>
      </c>
      <c r="O94" s="499">
        <f t="shared" si="52"/>
        <v>0</v>
      </c>
      <c r="P94" s="309"/>
      <c r="Z94" s="168"/>
    </row>
    <row r="95" ht="16.5" customHeight="1" outlineLevel="2" spans="2:26">
      <c r="B95" s="470" t="s">
        <v>1716</v>
      </c>
      <c r="C95" s="471" t="s">
        <v>788</v>
      </c>
      <c r="D95" s="470" t="s">
        <v>1717</v>
      </c>
      <c r="E95" s="290" t="s">
        <v>1406</v>
      </c>
      <c r="F95" s="290" t="s">
        <v>1537</v>
      </c>
      <c r="G95" s="200">
        <v>1</v>
      </c>
      <c r="H95" s="108" t="s">
        <v>655</v>
      </c>
      <c r="I95" s="475">
        <f t="shared" si="59"/>
        <v>5000</v>
      </c>
      <c r="J95" s="475"/>
      <c r="K95" s="497">
        <v>0.11</v>
      </c>
      <c r="L95" s="477">
        <f t="shared" si="60"/>
        <v>0</v>
      </c>
      <c r="M95" s="475">
        <f t="shared" si="61"/>
        <v>0</v>
      </c>
      <c r="N95" s="498">
        <f t="shared" si="62"/>
        <v>0</v>
      </c>
      <c r="O95" s="499">
        <f t="shared" si="52"/>
        <v>0</v>
      </c>
      <c r="P95" s="309"/>
      <c r="Z95" s="168"/>
    </row>
    <row r="96" ht="16.5" customHeight="1" outlineLevel="2" spans="2:26">
      <c r="B96" s="470" t="s">
        <v>1718</v>
      </c>
      <c r="C96" s="471" t="s">
        <v>791</v>
      </c>
      <c r="D96" s="470" t="s">
        <v>1979</v>
      </c>
      <c r="E96" s="290" t="s">
        <v>1980</v>
      </c>
      <c r="F96" s="290" t="s">
        <v>1537</v>
      </c>
      <c r="G96" s="200">
        <v>1</v>
      </c>
      <c r="H96" s="108" t="s">
        <v>655</v>
      </c>
      <c r="I96" s="475">
        <f t="shared" si="59"/>
        <v>5000</v>
      </c>
      <c r="J96" s="475"/>
      <c r="K96" s="497">
        <v>0.11</v>
      </c>
      <c r="L96" s="477">
        <f t="shared" si="60"/>
        <v>0</v>
      </c>
      <c r="M96" s="475">
        <f t="shared" si="61"/>
        <v>0</v>
      </c>
      <c r="N96" s="498">
        <f t="shared" si="62"/>
        <v>0</v>
      </c>
      <c r="O96" s="499">
        <f t="shared" si="52"/>
        <v>0</v>
      </c>
      <c r="P96" s="309"/>
      <c r="Z96" s="168"/>
    </row>
    <row r="97" ht="16.5" customHeight="1" outlineLevel="2" spans="2:26">
      <c r="B97" s="470" t="s">
        <v>1720</v>
      </c>
      <c r="C97" s="471" t="s">
        <v>797</v>
      </c>
      <c r="D97" s="470" t="s">
        <v>1721</v>
      </c>
      <c r="E97" s="290" t="s">
        <v>1371</v>
      </c>
      <c r="F97" s="290" t="s">
        <v>1537</v>
      </c>
      <c r="G97" s="200">
        <v>1</v>
      </c>
      <c r="H97" s="108" t="s">
        <v>655</v>
      </c>
      <c r="I97" s="475">
        <f t="shared" si="59"/>
        <v>5000</v>
      </c>
      <c r="J97" s="475"/>
      <c r="K97" s="497">
        <v>0.17</v>
      </c>
      <c r="L97" s="477">
        <f t="shared" si="60"/>
        <v>0</v>
      </c>
      <c r="M97" s="475">
        <f t="shared" si="61"/>
        <v>0</v>
      </c>
      <c r="N97" s="498">
        <f t="shared" si="62"/>
        <v>0</v>
      </c>
      <c r="O97" s="499">
        <f t="shared" si="52"/>
        <v>0</v>
      </c>
      <c r="P97" s="309"/>
      <c r="Z97" s="168"/>
    </row>
    <row r="98" ht="16.5" customHeight="1" outlineLevel="2" spans="2:26">
      <c r="B98" s="470" t="s">
        <v>1722</v>
      </c>
      <c r="C98" s="471" t="s">
        <v>1519</v>
      </c>
      <c r="D98" s="470" t="s">
        <v>1723</v>
      </c>
      <c r="E98" s="290" t="s">
        <v>1372</v>
      </c>
      <c r="F98" s="290" t="s">
        <v>1537</v>
      </c>
      <c r="G98" s="200">
        <v>1</v>
      </c>
      <c r="H98" s="108" t="s">
        <v>655</v>
      </c>
      <c r="I98" s="475">
        <f t="shared" si="59"/>
        <v>5000</v>
      </c>
      <c r="J98" s="475"/>
      <c r="K98" s="497">
        <v>0.17</v>
      </c>
      <c r="L98" s="477">
        <f t="shared" si="60"/>
        <v>0</v>
      </c>
      <c r="M98" s="475">
        <f t="shared" si="61"/>
        <v>0</v>
      </c>
      <c r="N98" s="498">
        <f t="shared" si="62"/>
        <v>0</v>
      </c>
      <c r="O98" s="499">
        <f t="shared" si="52"/>
        <v>0</v>
      </c>
      <c r="P98" s="309"/>
      <c r="Z98" s="168"/>
    </row>
    <row r="99" ht="16.5" customHeight="1" outlineLevel="2" spans="2:26">
      <c r="B99" s="470" t="s">
        <v>1724</v>
      </c>
      <c r="C99" s="471" t="s">
        <v>1520</v>
      </c>
      <c r="D99" s="470" t="s">
        <v>1725</v>
      </c>
      <c r="E99" s="290" t="s">
        <v>1373</v>
      </c>
      <c r="F99" s="290" t="s">
        <v>1537</v>
      </c>
      <c r="G99" s="200">
        <v>1</v>
      </c>
      <c r="H99" s="108" t="s">
        <v>655</v>
      </c>
      <c r="I99" s="475">
        <f t="shared" si="59"/>
        <v>5000</v>
      </c>
      <c r="J99" s="475"/>
      <c r="K99" s="497">
        <v>0.17</v>
      </c>
      <c r="L99" s="477">
        <f t="shared" si="60"/>
        <v>0</v>
      </c>
      <c r="M99" s="475">
        <f t="shared" si="61"/>
        <v>0</v>
      </c>
      <c r="N99" s="498">
        <f t="shared" si="62"/>
        <v>0</v>
      </c>
      <c r="O99" s="499">
        <f t="shared" si="52"/>
        <v>0</v>
      </c>
      <c r="P99" s="309"/>
      <c r="Z99" s="168"/>
    </row>
    <row r="100" ht="16.5" customHeight="1" outlineLevel="2" spans="2:26">
      <c r="B100" s="470" t="s">
        <v>1726</v>
      </c>
      <c r="C100" s="471" t="s">
        <v>1727</v>
      </c>
      <c r="D100" s="470" t="s">
        <v>1728</v>
      </c>
      <c r="E100" s="290" t="s">
        <v>1374</v>
      </c>
      <c r="F100" s="290" t="s">
        <v>1537</v>
      </c>
      <c r="G100" s="200">
        <v>1</v>
      </c>
      <c r="H100" s="108" t="s">
        <v>655</v>
      </c>
      <c r="I100" s="475">
        <f t="shared" si="59"/>
        <v>5000</v>
      </c>
      <c r="J100" s="475"/>
      <c r="K100" s="497">
        <v>0.17</v>
      </c>
      <c r="L100" s="477">
        <f t="shared" si="60"/>
        <v>0</v>
      </c>
      <c r="M100" s="475">
        <f t="shared" si="61"/>
        <v>0</v>
      </c>
      <c r="N100" s="498">
        <f t="shared" si="62"/>
        <v>0</v>
      </c>
      <c r="O100" s="499">
        <f t="shared" si="52"/>
        <v>0</v>
      </c>
      <c r="P100" s="309"/>
      <c r="Z100" s="168"/>
    </row>
    <row r="101" ht="16.5" customHeight="1" outlineLevel="2" spans="2:26">
      <c r="B101" s="470" t="s">
        <v>1729</v>
      </c>
      <c r="C101" s="471" t="s">
        <v>1730</v>
      </c>
      <c r="D101" s="470" t="s">
        <v>1731</v>
      </c>
      <c r="E101" s="290" t="s">
        <v>1375</v>
      </c>
      <c r="F101" s="290" t="s">
        <v>1537</v>
      </c>
      <c r="G101" s="200">
        <v>1</v>
      </c>
      <c r="H101" s="108" t="s">
        <v>655</v>
      </c>
      <c r="I101" s="475">
        <f t="shared" si="59"/>
        <v>5000</v>
      </c>
      <c r="J101" s="475"/>
      <c r="K101" s="497">
        <v>0.17</v>
      </c>
      <c r="L101" s="477">
        <f t="shared" si="60"/>
        <v>0</v>
      </c>
      <c r="M101" s="475">
        <f t="shared" si="61"/>
        <v>0</v>
      </c>
      <c r="N101" s="498">
        <f t="shared" si="62"/>
        <v>0</v>
      </c>
      <c r="O101" s="499">
        <f t="shared" si="52"/>
        <v>0</v>
      </c>
      <c r="P101" s="309"/>
      <c r="Z101" s="168"/>
    </row>
    <row r="102" s="456" customFormat="1" ht="16.5" customHeight="1" outlineLevel="2" spans="2:16">
      <c r="B102" s="470" t="s">
        <v>1732</v>
      </c>
      <c r="C102" s="471" t="s">
        <v>1733</v>
      </c>
      <c r="D102" s="470" t="s">
        <v>1734</v>
      </c>
      <c r="E102" s="290" t="s">
        <v>1376</v>
      </c>
      <c r="F102" s="290" t="s">
        <v>1537</v>
      </c>
      <c r="G102" s="200">
        <v>1</v>
      </c>
      <c r="H102" s="108" t="s">
        <v>655</v>
      </c>
      <c r="I102" s="475">
        <f t="shared" si="59"/>
        <v>5000</v>
      </c>
      <c r="J102" s="475"/>
      <c r="K102" s="497">
        <v>0.17</v>
      </c>
      <c r="L102" s="477">
        <f t="shared" si="60"/>
        <v>0</v>
      </c>
      <c r="M102" s="475">
        <f t="shared" si="61"/>
        <v>0</v>
      </c>
      <c r="N102" s="498">
        <f t="shared" si="62"/>
        <v>0</v>
      </c>
      <c r="O102" s="499">
        <f t="shared" si="52"/>
        <v>0</v>
      </c>
      <c r="P102" s="309"/>
    </row>
    <row r="103" ht="16.5" customHeight="1" outlineLevel="2" spans="2:26">
      <c r="B103" s="470" t="s">
        <v>1735</v>
      </c>
      <c r="C103" s="471" t="s">
        <v>1736</v>
      </c>
      <c r="D103" s="470" t="s">
        <v>1737</v>
      </c>
      <c r="E103" s="290" t="s">
        <v>1376</v>
      </c>
      <c r="F103" s="290" t="s">
        <v>1537</v>
      </c>
      <c r="G103" s="200">
        <v>1</v>
      </c>
      <c r="H103" s="108" t="s">
        <v>655</v>
      </c>
      <c r="I103" s="475">
        <f t="shared" si="59"/>
        <v>5000</v>
      </c>
      <c r="J103" s="475"/>
      <c r="K103" s="497">
        <v>0.17</v>
      </c>
      <c r="L103" s="477">
        <f t="shared" si="60"/>
        <v>0</v>
      </c>
      <c r="M103" s="475">
        <f t="shared" si="61"/>
        <v>0</v>
      </c>
      <c r="N103" s="498">
        <f t="shared" si="62"/>
        <v>0</v>
      </c>
      <c r="O103" s="499">
        <f t="shared" si="52"/>
        <v>0</v>
      </c>
      <c r="P103" s="309"/>
      <c r="Z103" s="168"/>
    </row>
    <row r="104" ht="16.5" customHeight="1" outlineLevel="2" spans="2:26">
      <c r="B104" s="470" t="s">
        <v>1981</v>
      </c>
      <c r="C104" s="471" t="s">
        <v>1982</v>
      </c>
      <c r="D104" s="470" t="s">
        <v>1983</v>
      </c>
      <c r="E104" s="470" t="s">
        <v>1984</v>
      </c>
      <c r="F104" s="290" t="s">
        <v>1537</v>
      </c>
      <c r="G104" s="200">
        <v>1</v>
      </c>
      <c r="H104" s="108" t="s">
        <v>655</v>
      </c>
      <c r="I104" s="475">
        <f t="shared" si="59"/>
        <v>5000</v>
      </c>
      <c r="J104" s="475"/>
      <c r="K104" s="497">
        <v>0.17</v>
      </c>
      <c r="L104" s="477">
        <f t="shared" si="60"/>
        <v>0</v>
      </c>
      <c r="M104" s="475">
        <f t="shared" si="61"/>
        <v>0</v>
      </c>
      <c r="N104" s="498">
        <f t="shared" si="62"/>
        <v>0</v>
      </c>
      <c r="O104" s="499">
        <f t="shared" si="52"/>
        <v>0</v>
      </c>
      <c r="P104" s="309"/>
      <c r="Z104" s="168"/>
    </row>
    <row r="105" ht="21" customHeight="1" outlineLevel="2" spans="2:26">
      <c r="B105" s="470" t="s">
        <v>1985</v>
      </c>
      <c r="C105" s="471" t="s">
        <v>1986</v>
      </c>
      <c r="D105" s="470" t="s">
        <v>1987</v>
      </c>
      <c r="E105" s="470" t="s">
        <v>1988</v>
      </c>
      <c r="F105" s="290" t="s">
        <v>1537</v>
      </c>
      <c r="G105" s="200">
        <v>1</v>
      </c>
      <c r="H105" s="108" t="s">
        <v>655</v>
      </c>
      <c r="I105" s="475">
        <f t="shared" si="59"/>
        <v>5000</v>
      </c>
      <c r="J105" s="475"/>
      <c r="K105" s="497">
        <v>0.11</v>
      </c>
      <c r="L105" s="477">
        <f t="shared" si="60"/>
        <v>0</v>
      </c>
      <c r="M105" s="475">
        <f t="shared" si="61"/>
        <v>0</v>
      </c>
      <c r="N105" s="498">
        <f t="shared" si="62"/>
        <v>0</v>
      </c>
      <c r="O105" s="499">
        <f t="shared" si="52"/>
        <v>0</v>
      </c>
      <c r="P105" s="309"/>
      <c r="Z105" s="168"/>
    </row>
    <row r="106" ht="16.5" customHeight="1" outlineLevel="1" spans="2:26">
      <c r="B106" s="505" t="s">
        <v>1738</v>
      </c>
      <c r="C106" s="506">
        <v>2</v>
      </c>
      <c r="D106" s="505" t="s">
        <v>1739</v>
      </c>
      <c r="E106" s="193"/>
      <c r="F106" s="193"/>
      <c r="G106" s="193"/>
      <c r="H106" s="155"/>
      <c r="I106" s="492"/>
      <c r="J106" s="492"/>
      <c r="K106" s="492"/>
      <c r="L106" s="494">
        <f t="shared" ref="L106:N106" si="63">L107+L108+L109</f>
        <v>0</v>
      </c>
      <c r="M106" s="494">
        <f t="shared" si="63"/>
        <v>0</v>
      </c>
      <c r="N106" s="494">
        <f t="shared" si="63"/>
        <v>0</v>
      </c>
      <c r="O106" s="495">
        <f t="shared" si="52"/>
        <v>0</v>
      </c>
      <c r="P106" s="233"/>
      <c r="Z106" s="168"/>
    </row>
    <row r="107" ht="16.5" customHeight="1" outlineLevel="2" spans="2:26">
      <c r="B107" s="470" t="s">
        <v>1740</v>
      </c>
      <c r="C107" s="471" t="s">
        <v>619</v>
      </c>
      <c r="D107" s="507" t="s">
        <v>1741</v>
      </c>
      <c r="E107" s="290" t="s">
        <v>1377</v>
      </c>
      <c r="F107" s="290" t="s">
        <v>1537</v>
      </c>
      <c r="G107" s="200">
        <v>1</v>
      </c>
      <c r="H107" s="108" t="s">
        <v>655</v>
      </c>
      <c r="I107" s="475">
        <f>$E$2*(1+$F$2)</f>
        <v>5000</v>
      </c>
      <c r="J107" s="475"/>
      <c r="K107" s="517">
        <v>0.17</v>
      </c>
      <c r="L107" s="477">
        <f t="shared" ref="L107:L109" si="64">G107*I107*J107/10000</f>
        <v>0</v>
      </c>
      <c r="M107" s="475">
        <f t="shared" ref="M107:M109" si="65">L107*K107</f>
        <v>0</v>
      </c>
      <c r="N107" s="498">
        <f t="shared" ref="N107:N109" si="66">M107+L107</f>
        <v>0</v>
      </c>
      <c r="O107" s="499">
        <f t="shared" si="52"/>
        <v>0</v>
      </c>
      <c r="P107" s="309"/>
      <c r="Z107" s="168"/>
    </row>
    <row r="108" ht="16.5" customHeight="1" outlineLevel="2" spans="2:26">
      <c r="B108" s="470" t="s">
        <v>1742</v>
      </c>
      <c r="C108" s="471" t="s">
        <v>657</v>
      </c>
      <c r="D108" s="507" t="s">
        <v>1743</v>
      </c>
      <c r="E108" s="290" t="s">
        <v>1377</v>
      </c>
      <c r="F108" s="290" t="s">
        <v>1537</v>
      </c>
      <c r="G108" s="200">
        <v>1</v>
      </c>
      <c r="H108" s="108" t="s">
        <v>655</v>
      </c>
      <c r="I108" s="475">
        <f>$E$2*(1+$F$2)</f>
        <v>5000</v>
      </c>
      <c r="J108" s="475"/>
      <c r="K108" s="517">
        <v>0.17</v>
      </c>
      <c r="L108" s="477">
        <f t="shared" si="64"/>
        <v>0</v>
      </c>
      <c r="M108" s="475">
        <f t="shared" si="65"/>
        <v>0</v>
      </c>
      <c r="N108" s="498">
        <f t="shared" si="66"/>
        <v>0</v>
      </c>
      <c r="O108" s="499">
        <f t="shared" si="52"/>
        <v>0</v>
      </c>
      <c r="P108" s="309"/>
      <c r="Z108" s="168"/>
    </row>
    <row r="109" ht="16.5" customHeight="1" outlineLevel="2" spans="2:26">
      <c r="B109" s="470" t="s">
        <v>1744</v>
      </c>
      <c r="C109" s="471" t="s">
        <v>762</v>
      </c>
      <c r="D109" s="507" t="s">
        <v>1745</v>
      </c>
      <c r="E109" s="290" t="s">
        <v>1377</v>
      </c>
      <c r="F109" s="290" t="s">
        <v>1537</v>
      </c>
      <c r="G109" s="200">
        <v>1</v>
      </c>
      <c r="H109" s="108" t="s">
        <v>655</v>
      </c>
      <c r="I109" s="475">
        <f>$E$2*(1+$F$2)</f>
        <v>5000</v>
      </c>
      <c r="J109" s="475"/>
      <c r="K109" s="517">
        <v>0.17</v>
      </c>
      <c r="L109" s="477">
        <f t="shared" si="64"/>
        <v>0</v>
      </c>
      <c r="M109" s="475">
        <f t="shared" si="65"/>
        <v>0</v>
      </c>
      <c r="N109" s="498">
        <f t="shared" si="66"/>
        <v>0</v>
      </c>
      <c r="O109" s="499">
        <f t="shared" si="52"/>
        <v>0</v>
      </c>
      <c r="P109" s="309"/>
      <c r="Z109" s="168"/>
    </row>
    <row r="110" ht="16.5" customHeight="1" outlineLevel="1" spans="2:26">
      <c r="B110" s="505" t="s">
        <v>1746</v>
      </c>
      <c r="C110" s="506">
        <v>3</v>
      </c>
      <c r="D110" s="505" t="s">
        <v>1747</v>
      </c>
      <c r="E110" s="193"/>
      <c r="F110" s="193"/>
      <c r="G110" s="193"/>
      <c r="H110" s="155"/>
      <c r="I110" s="492"/>
      <c r="J110" s="492"/>
      <c r="K110" s="492"/>
      <c r="L110" s="494">
        <f t="shared" ref="L110:N110" si="67">L111+L112</f>
        <v>0</v>
      </c>
      <c r="M110" s="494">
        <f t="shared" si="67"/>
        <v>0</v>
      </c>
      <c r="N110" s="494">
        <f t="shared" si="67"/>
        <v>0</v>
      </c>
      <c r="O110" s="495">
        <f t="shared" si="52"/>
        <v>0</v>
      </c>
      <c r="P110" s="233"/>
      <c r="Z110" s="168"/>
    </row>
    <row r="111" s="456" customFormat="1" ht="16.5" customHeight="1" outlineLevel="1" spans="2:16">
      <c r="B111" s="508" t="s">
        <v>1748</v>
      </c>
      <c r="C111" s="471" t="s">
        <v>619</v>
      </c>
      <c r="D111" s="470" t="s">
        <v>1747</v>
      </c>
      <c r="E111" s="470" t="s">
        <v>1988</v>
      </c>
      <c r="F111" s="290" t="s">
        <v>1537</v>
      </c>
      <c r="G111" s="200">
        <v>1</v>
      </c>
      <c r="H111" s="108" t="s">
        <v>655</v>
      </c>
      <c r="I111" s="475">
        <f>$E$2*(1+$F$2)</f>
        <v>5000</v>
      </c>
      <c r="J111" s="475">
        <v>0</v>
      </c>
      <c r="K111" s="517">
        <v>0.11</v>
      </c>
      <c r="L111" s="477">
        <f t="shared" ref="L111:L113" si="68">G111*I111*J111/10000</f>
        <v>0</v>
      </c>
      <c r="M111" s="475">
        <f>L111*K111</f>
        <v>0</v>
      </c>
      <c r="N111" s="498">
        <f t="shared" ref="N111:N113" si="69">M111+L111</f>
        <v>0</v>
      </c>
      <c r="O111" s="499">
        <f t="shared" si="52"/>
        <v>0</v>
      </c>
      <c r="P111" s="309"/>
    </row>
    <row r="112" s="456" customFormat="1" ht="16.5" customHeight="1" outlineLevel="1" spans="2:16">
      <c r="B112" s="508" t="s">
        <v>1749</v>
      </c>
      <c r="C112" s="471" t="s">
        <v>657</v>
      </c>
      <c r="D112" s="470" t="s">
        <v>1125</v>
      </c>
      <c r="E112" s="471" t="s">
        <v>1125</v>
      </c>
      <c r="F112" s="366"/>
      <c r="G112" s="366"/>
      <c r="H112" s="313"/>
      <c r="I112" s="518"/>
      <c r="J112" s="518"/>
      <c r="K112" s="519"/>
      <c r="L112" s="477">
        <f t="shared" si="68"/>
        <v>0</v>
      </c>
      <c r="M112" s="475">
        <f>L112*K112</f>
        <v>0</v>
      </c>
      <c r="N112" s="498">
        <f t="shared" si="69"/>
        <v>0</v>
      </c>
      <c r="O112" s="499">
        <f t="shared" si="52"/>
        <v>0</v>
      </c>
      <c r="P112" s="309"/>
    </row>
    <row r="113" ht="16.5" customHeight="1" outlineLevel="1" spans="2:26">
      <c r="B113" s="505" t="s">
        <v>1750</v>
      </c>
      <c r="C113" s="506">
        <v>4</v>
      </c>
      <c r="D113" s="505" t="s">
        <v>1751</v>
      </c>
      <c r="E113" s="193"/>
      <c r="F113" s="193"/>
      <c r="G113" s="193"/>
      <c r="H113" s="155"/>
      <c r="I113" s="492"/>
      <c r="J113" s="492"/>
      <c r="K113" s="493">
        <v>0.11</v>
      </c>
      <c r="L113" s="155">
        <f t="shared" si="68"/>
        <v>0</v>
      </c>
      <c r="M113" s="155">
        <f>K113*L113</f>
        <v>0</v>
      </c>
      <c r="N113" s="494">
        <f t="shared" si="69"/>
        <v>0</v>
      </c>
      <c r="O113" s="495">
        <f t="shared" si="52"/>
        <v>0</v>
      </c>
      <c r="P113" s="233"/>
      <c r="Z113" s="168"/>
    </row>
    <row r="114" ht="16.5" customHeight="1" spans="2:26">
      <c r="B114" s="468" t="s">
        <v>1752</v>
      </c>
      <c r="C114" s="469" t="s">
        <v>548</v>
      </c>
      <c r="D114" s="468" t="s">
        <v>483</v>
      </c>
      <c r="E114" s="192"/>
      <c r="F114" s="192"/>
      <c r="G114" s="192"/>
      <c r="H114" s="192"/>
      <c r="I114" s="488"/>
      <c r="J114" s="488"/>
      <c r="K114" s="520"/>
      <c r="L114" s="206">
        <f t="shared" ref="L114:N114" si="70">SUM(L115,L148,L174,L186)</f>
        <v>77.2618345753626</v>
      </c>
      <c r="M114" s="206">
        <f t="shared" si="70"/>
        <v>9.03205180328988</v>
      </c>
      <c r="N114" s="206">
        <f t="shared" si="70"/>
        <v>86.2938863786524</v>
      </c>
      <c r="O114" s="491">
        <f t="shared" si="52"/>
        <v>172.587772757305</v>
      </c>
      <c r="P114" s="230"/>
      <c r="Z114" s="168"/>
    </row>
    <row r="115" ht="16.5" customHeight="1" outlineLevel="1" spans="2:26">
      <c r="B115" s="505" t="s">
        <v>549</v>
      </c>
      <c r="C115" s="506">
        <v>1</v>
      </c>
      <c r="D115" s="505" t="s">
        <v>550</v>
      </c>
      <c r="E115" s="193"/>
      <c r="F115" s="193"/>
      <c r="G115" s="193"/>
      <c r="H115" s="155"/>
      <c r="I115" s="492"/>
      <c r="J115" s="492"/>
      <c r="K115" s="521"/>
      <c r="L115" s="155">
        <f t="shared" ref="L115:N115" si="71">SUM(L116,L131,L137,L142)</f>
        <v>77.2618345753626</v>
      </c>
      <c r="M115" s="155">
        <f t="shared" si="71"/>
        <v>9.03205180328988</v>
      </c>
      <c r="N115" s="155">
        <f t="shared" si="71"/>
        <v>86.2938863786524</v>
      </c>
      <c r="O115" s="495">
        <f t="shared" si="52"/>
        <v>172.587772757305</v>
      </c>
      <c r="P115" s="233"/>
      <c r="Z115" s="168"/>
    </row>
    <row r="116" ht="16.5" customHeight="1" outlineLevel="2" spans="2:26">
      <c r="B116" s="470" t="s">
        <v>1753</v>
      </c>
      <c r="C116" s="471" t="s">
        <v>619</v>
      </c>
      <c r="D116" s="507" t="s">
        <v>1754</v>
      </c>
      <c r="E116" s="290"/>
      <c r="F116" s="290"/>
      <c r="G116" s="292"/>
      <c r="H116" s="292"/>
      <c r="I116" s="475"/>
      <c r="J116" s="475"/>
      <c r="K116" s="517"/>
      <c r="L116" s="301">
        <f t="shared" ref="L116:N116" si="72">SUM(L117,L120,L123:L130)</f>
        <v>29.625</v>
      </c>
      <c r="M116" s="301">
        <f t="shared" si="72"/>
        <v>3.792</v>
      </c>
      <c r="N116" s="301">
        <f t="shared" si="72"/>
        <v>33.417</v>
      </c>
      <c r="O116" s="499">
        <f t="shared" si="52"/>
        <v>66.834</v>
      </c>
      <c r="P116" s="309"/>
      <c r="Z116" s="168"/>
    </row>
    <row r="117" ht="16.5" customHeight="1" outlineLevel="3" spans="2:26">
      <c r="B117" s="470" t="s">
        <v>1755</v>
      </c>
      <c r="C117" s="473" t="s">
        <v>622</v>
      </c>
      <c r="D117" s="507" t="s">
        <v>1756</v>
      </c>
      <c r="E117" s="290" t="s">
        <v>1380</v>
      </c>
      <c r="F117" s="290"/>
      <c r="G117" s="200"/>
      <c r="H117" s="503"/>
      <c r="I117" s="478"/>
      <c r="J117" s="478"/>
      <c r="K117" s="522"/>
      <c r="L117" s="477">
        <f t="shared" ref="L117:N117" si="73">SUM(L118:L119)</f>
        <v>8.8875</v>
      </c>
      <c r="M117" s="477">
        <f t="shared" si="73"/>
        <v>1.510875</v>
      </c>
      <c r="N117" s="477">
        <f t="shared" si="73"/>
        <v>10.398375</v>
      </c>
      <c r="O117" s="499">
        <f t="shared" si="52"/>
        <v>20.79675</v>
      </c>
      <c r="P117" s="523"/>
      <c r="Z117" s="168"/>
    </row>
    <row r="118" ht="16.5" customHeight="1" outlineLevel="3" spans="2:26">
      <c r="B118" s="470" t="s">
        <v>1757</v>
      </c>
      <c r="C118" s="473"/>
      <c r="D118" s="509" t="s">
        <v>1952</v>
      </c>
      <c r="E118" s="290"/>
      <c r="F118" s="290" t="s">
        <v>1537</v>
      </c>
      <c r="G118" s="510">
        <v>1.35</v>
      </c>
      <c r="H118" s="503" t="s">
        <v>1015</v>
      </c>
      <c r="I118" s="475">
        <f>$E$2*(1+$F$2)</f>
        <v>5000</v>
      </c>
      <c r="J118" s="475">
        <v>10.5</v>
      </c>
      <c r="K118" s="517">
        <v>0.17</v>
      </c>
      <c r="L118" s="477">
        <f>G118*I118*J118/10000</f>
        <v>7.0875</v>
      </c>
      <c r="M118" s="477">
        <f>L118*K118</f>
        <v>1.204875</v>
      </c>
      <c r="N118" s="498">
        <f>L118+M118</f>
        <v>8.292375</v>
      </c>
      <c r="O118" s="499"/>
      <c r="P118" s="523"/>
      <c r="Z118" s="168"/>
    </row>
    <row r="119" ht="16.5" customHeight="1" outlineLevel="3" spans="2:26">
      <c r="B119" s="470" t="s">
        <v>1759</v>
      </c>
      <c r="C119" s="473"/>
      <c r="D119" s="509" t="s">
        <v>1760</v>
      </c>
      <c r="E119" s="290"/>
      <c r="F119" s="290" t="s">
        <v>1537</v>
      </c>
      <c r="G119" s="510">
        <v>0.15</v>
      </c>
      <c r="H119" s="503" t="s">
        <v>1015</v>
      </c>
      <c r="I119" s="475">
        <f>$E$2*(1+$F$2)</f>
        <v>5000</v>
      </c>
      <c r="J119" s="475">
        <v>24</v>
      </c>
      <c r="K119" s="517">
        <v>0.17</v>
      </c>
      <c r="L119" s="477">
        <f>G119*I119*J119/10000</f>
        <v>1.8</v>
      </c>
      <c r="M119" s="477">
        <f>L119*K119</f>
        <v>0.306</v>
      </c>
      <c r="N119" s="498">
        <f>L119+M119</f>
        <v>2.106</v>
      </c>
      <c r="O119" s="499"/>
      <c r="P119" s="523"/>
      <c r="Z119" s="168"/>
    </row>
    <row r="120" ht="16.5" customHeight="1" outlineLevel="3" spans="2:26">
      <c r="B120" s="470" t="s">
        <v>1761</v>
      </c>
      <c r="C120" s="473" t="s">
        <v>622</v>
      </c>
      <c r="D120" s="507" t="s">
        <v>1762</v>
      </c>
      <c r="E120" s="290" t="s">
        <v>1381</v>
      </c>
      <c r="F120" s="290"/>
      <c r="G120" s="200"/>
      <c r="H120" s="108"/>
      <c r="I120" s="478"/>
      <c r="J120" s="478"/>
      <c r="K120" s="522"/>
      <c r="L120" s="477">
        <f t="shared" ref="L120:N120" si="74">SUM(L121:L122)</f>
        <v>20.7375</v>
      </c>
      <c r="M120" s="477">
        <f t="shared" si="74"/>
        <v>2.281125</v>
      </c>
      <c r="N120" s="477">
        <f t="shared" si="74"/>
        <v>23.018625</v>
      </c>
      <c r="O120" s="499">
        <f>IF(N120="","",N120*10000/E$2)</f>
        <v>46.03725</v>
      </c>
      <c r="P120" s="523"/>
      <c r="Z120" s="168"/>
    </row>
    <row r="121" ht="16.5" customHeight="1" outlineLevel="3" spans="2:26">
      <c r="B121" s="470" t="s">
        <v>1763</v>
      </c>
      <c r="C121" s="473"/>
      <c r="D121" s="509" t="s">
        <v>1953</v>
      </c>
      <c r="E121" s="290"/>
      <c r="F121" s="290" t="s">
        <v>1537</v>
      </c>
      <c r="G121" s="510">
        <v>1.35</v>
      </c>
      <c r="H121" s="503" t="s">
        <v>1015</v>
      </c>
      <c r="I121" s="475">
        <f>$E$2*(1+$F$2)</f>
        <v>5000</v>
      </c>
      <c r="J121" s="475">
        <v>24.5</v>
      </c>
      <c r="K121" s="517">
        <v>0.11</v>
      </c>
      <c r="L121" s="477">
        <f t="shared" ref="L121:L130" si="75">G121*I121*J121/10000</f>
        <v>16.5375</v>
      </c>
      <c r="M121" s="477">
        <f t="shared" ref="M121:M130" si="76">L121*K121</f>
        <v>1.819125</v>
      </c>
      <c r="N121" s="498">
        <f t="shared" ref="N121:N130" si="77">L121+M121</f>
        <v>18.356625</v>
      </c>
      <c r="O121" s="499"/>
      <c r="P121" s="523"/>
      <c r="Z121" s="168"/>
    </row>
    <row r="122" ht="16.5" customHeight="1" outlineLevel="3" spans="2:26">
      <c r="B122" s="470" t="s">
        <v>1765</v>
      </c>
      <c r="C122" s="473"/>
      <c r="D122" s="509" t="s">
        <v>1766</v>
      </c>
      <c r="E122" s="290"/>
      <c r="F122" s="290" t="s">
        <v>1537</v>
      </c>
      <c r="G122" s="510">
        <v>0.15</v>
      </c>
      <c r="H122" s="503" t="s">
        <v>1015</v>
      </c>
      <c r="I122" s="475">
        <f>$E$2*(1+$F$2)</f>
        <v>5000</v>
      </c>
      <c r="J122" s="475">
        <v>56</v>
      </c>
      <c r="K122" s="517">
        <v>0.11</v>
      </c>
      <c r="L122" s="477">
        <f t="shared" si="75"/>
        <v>4.2</v>
      </c>
      <c r="M122" s="477">
        <f t="shared" si="76"/>
        <v>0.462</v>
      </c>
      <c r="N122" s="498">
        <f t="shared" si="77"/>
        <v>4.662</v>
      </c>
      <c r="O122" s="499"/>
      <c r="P122" s="523"/>
      <c r="Z122" s="168"/>
    </row>
    <row r="123" ht="16.5" customHeight="1" outlineLevel="3" spans="2:26">
      <c r="B123" s="470" t="s">
        <v>1767</v>
      </c>
      <c r="C123" s="473" t="s">
        <v>622</v>
      </c>
      <c r="D123" s="507" t="s">
        <v>1768</v>
      </c>
      <c r="E123" s="479" t="s">
        <v>1382</v>
      </c>
      <c r="F123" s="479"/>
      <c r="G123" s="511"/>
      <c r="H123" s="477"/>
      <c r="I123" s="478"/>
      <c r="J123" s="478"/>
      <c r="K123" s="522">
        <v>0.11</v>
      </c>
      <c r="L123" s="477">
        <f t="shared" si="75"/>
        <v>0</v>
      </c>
      <c r="M123" s="477">
        <f t="shared" si="76"/>
        <v>0</v>
      </c>
      <c r="N123" s="498">
        <f t="shared" si="77"/>
        <v>0</v>
      </c>
      <c r="O123" s="499">
        <f t="shared" ref="O123:O146" si="78">IF(N123="","",N123*10000/E$2)</f>
        <v>0</v>
      </c>
      <c r="P123" s="523"/>
      <c r="Z123" s="168"/>
    </row>
    <row r="124" ht="16.5" customHeight="1" outlineLevel="3" spans="2:26">
      <c r="B124" s="470" t="s">
        <v>1769</v>
      </c>
      <c r="C124" s="473" t="s">
        <v>622</v>
      </c>
      <c r="D124" s="507" t="s">
        <v>1770</v>
      </c>
      <c r="E124" s="479" t="s">
        <v>1383</v>
      </c>
      <c r="F124" s="479"/>
      <c r="G124" s="511"/>
      <c r="H124" s="477"/>
      <c r="I124" s="478"/>
      <c r="J124" s="478"/>
      <c r="K124" s="522">
        <v>0.11</v>
      </c>
      <c r="L124" s="477">
        <f t="shared" si="75"/>
        <v>0</v>
      </c>
      <c r="M124" s="477">
        <f t="shared" si="76"/>
        <v>0</v>
      </c>
      <c r="N124" s="498">
        <f t="shared" si="77"/>
        <v>0</v>
      </c>
      <c r="O124" s="499">
        <f t="shared" si="78"/>
        <v>0</v>
      </c>
      <c r="P124" s="523"/>
      <c r="Z124" s="168"/>
    </row>
    <row r="125" ht="16.5" customHeight="1" outlineLevel="3" spans="2:26">
      <c r="B125" s="470" t="s">
        <v>1771</v>
      </c>
      <c r="C125" s="473" t="s">
        <v>622</v>
      </c>
      <c r="D125" s="507" t="s">
        <v>1772</v>
      </c>
      <c r="E125" s="479" t="s">
        <v>1384</v>
      </c>
      <c r="F125" s="479"/>
      <c r="G125" s="511"/>
      <c r="H125" s="477"/>
      <c r="I125" s="475"/>
      <c r="J125" s="475"/>
      <c r="K125" s="517">
        <v>0.11</v>
      </c>
      <c r="L125" s="477">
        <f t="shared" si="75"/>
        <v>0</v>
      </c>
      <c r="M125" s="477">
        <f t="shared" si="76"/>
        <v>0</v>
      </c>
      <c r="N125" s="498">
        <f t="shared" si="77"/>
        <v>0</v>
      </c>
      <c r="O125" s="499">
        <f t="shared" si="78"/>
        <v>0</v>
      </c>
      <c r="P125" s="523"/>
      <c r="Z125" s="168"/>
    </row>
    <row r="126" ht="16.5" customHeight="1" outlineLevel="3" spans="2:26">
      <c r="B126" s="470" t="s">
        <v>1773</v>
      </c>
      <c r="C126" s="473" t="s">
        <v>622</v>
      </c>
      <c r="D126" s="507" t="s">
        <v>1774</v>
      </c>
      <c r="E126" s="479" t="s">
        <v>1385</v>
      </c>
      <c r="F126" s="479"/>
      <c r="G126" s="512"/>
      <c r="H126" s="477"/>
      <c r="I126" s="478"/>
      <c r="J126" s="478"/>
      <c r="K126" s="522">
        <v>0.17</v>
      </c>
      <c r="L126" s="477">
        <f t="shared" si="75"/>
        <v>0</v>
      </c>
      <c r="M126" s="477">
        <f t="shared" si="76"/>
        <v>0</v>
      </c>
      <c r="N126" s="498">
        <f t="shared" si="77"/>
        <v>0</v>
      </c>
      <c r="O126" s="499">
        <f t="shared" si="78"/>
        <v>0</v>
      </c>
      <c r="P126" s="523"/>
      <c r="Z126" s="168"/>
    </row>
    <row r="127" ht="16.5" customHeight="1" outlineLevel="3" spans="2:26">
      <c r="B127" s="470" t="s">
        <v>1775</v>
      </c>
      <c r="C127" s="473" t="s">
        <v>622</v>
      </c>
      <c r="D127" s="507" t="s">
        <v>1776</v>
      </c>
      <c r="E127" s="479" t="s">
        <v>774</v>
      </c>
      <c r="F127" s="479"/>
      <c r="G127" s="511"/>
      <c r="H127" s="477"/>
      <c r="I127" s="475"/>
      <c r="J127" s="475"/>
      <c r="K127" s="517">
        <v>0.11</v>
      </c>
      <c r="L127" s="477">
        <f t="shared" si="75"/>
        <v>0</v>
      </c>
      <c r="M127" s="477">
        <f t="shared" si="76"/>
        <v>0</v>
      </c>
      <c r="N127" s="498">
        <f t="shared" si="77"/>
        <v>0</v>
      </c>
      <c r="O127" s="499">
        <f t="shared" si="78"/>
        <v>0</v>
      </c>
      <c r="P127" s="523"/>
      <c r="Z127" s="168"/>
    </row>
    <row r="128" ht="16.5" customHeight="1" outlineLevel="3" spans="2:26">
      <c r="B128" s="470" t="s">
        <v>1777</v>
      </c>
      <c r="C128" s="473" t="s">
        <v>622</v>
      </c>
      <c r="D128" s="507" t="s">
        <v>1778</v>
      </c>
      <c r="E128" s="479" t="s">
        <v>1387</v>
      </c>
      <c r="F128" s="479" t="s">
        <v>602</v>
      </c>
      <c r="G128" s="513">
        <f>8*2.4</f>
        <v>19.2</v>
      </c>
      <c r="H128" s="503" t="s">
        <v>1832</v>
      </c>
      <c r="I128" s="475">
        <f>$I$2</f>
        <v>0</v>
      </c>
      <c r="J128" s="475">
        <v>1500</v>
      </c>
      <c r="K128" s="517">
        <v>0.11</v>
      </c>
      <c r="L128" s="477">
        <f t="shared" si="75"/>
        <v>0</v>
      </c>
      <c r="M128" s="477">
        <f t="shared" si="76"/>
        <v>0</v>
      </c>
      <c r="N128" s="498">
        <f t="shared" si="77"/>
        <v>0</v>
      </c>
      <c r="O128" s="499">
        <f t="shared" si="78"/>
        <v>0</v>
      </c>
      <c r="P128" s="309"/>
      <c r="Z128" s="168"/>
    </row>
    <row r="129" ht="16.5" customHeight="1" outlineLevel="3" spans="2:26">
      <c r="B129" s="470" t="s">
        <v>1780</v>
      </c>
      <c r="C129" s="473" t="s">
        <v>622</v>
      </c>
      <c r="D129" s="507" t="s">
        <v>1781</v>
      </c>
      <c r="E129" s="479" t="s">
        <v>1388</v>
      </c>
      <c r="F129" s="479"/>
      <c r="G129" s="510"/>
      <c r="H129" s="524"/>
      <c r="I129" s="475"/>
      <c r="J129" s="475"/>
      <c r="K129" s="517">
        <v>0.11</v>
      </c>
      <c r="L129" s="477">
        <f t="shared" si="75"/>
        <v>0</v>
      </c>
      <c r="M129" s="477">
        <f t="shared" si="76"/>
        <v>0</v>
      </c>
      <c r="N129" s="498">
        <f t="shared" si="77"/>
        <v>0</v>
      </c>
      <c r="O129" s="499">
        <f t="shared" si="78"/>
        <v>0</v>
      </c>
      <c r="P129" s="309"/>
      <c r="Z129" s="168"/>
    </row>
    <row r="130" ht="16.5" customHeight="1" outlineLevel="3" spans="2:26">
      <c r="B130" s="470" t="s">
        <v>1783</v>
      </c>
      <c r="C130" s="473" t="s">
        <v>622</v>
      </c>
      <c r="D130" s="507" t="s">
        <v>1787</v>
      </c>
      <c r="E130" s="65"/>
      <c r="F130" s="65"/>
      <c r="G130" s="510"/>
      <c r="H130" s="524"/>
      <c r="I130" s="475"/>
      <c r="J130" s="475"/>
      <c r="K130" s="517">
        <v>0.11</v>
      </c>
      <c r="L130" s="477">
        <f t="shared" si="75"/>
        <v>0</v>
      </c>
      <c r="M130" s="477">
        <f t="shared" si="76"/>
        <v>0</v>
      </c>
      <c r="N130" s="498">
        <f t="shared" si="77"/>
        <v>0</v>
      </c>
      <c r="O130" s="499">
        <f t="shared" si="78"/>
        <v>0</v>
      </c>
      <c r="P130" s="309"/>
      <c r="Z130" s="168"/>
    </row>
    <row r="131" ht="16.5" customHeight="1" outlineLevel="2" spans="2:26">
      <c r="B131" s="470" t="s">
        <v>1788</v>
      </c>
      <c r="C131" s="471" t="s">
        <v>657</v>
      </c>
      <c r="D131" s="507" t="s">
        <v>1789</v>
      </c>
      <c r="E131" s="290"/>
      <c r="F131" s="290"/>
      <c r="G131" s="292"/>
      <c r="H131" s="292"/>
      <c r="I131" s="475"/>
      <c r="J131" s="475"/>
      <c r="K131" s="517"/>
      <c r="L131" s="301">
        <f t="shared" ref="L131:N131" si="79">SUM(L132:L136)</f>
        <v>0</v>
      </c>
      <c r="M131" s="301">
        <f t="shared" si="79"/>
        <v>0</v>
      </c>
      <c r="N131" s="301">
        <f t="shared" si="79"/>
        <v>0</v>
      </c>
      <c r="O131" s="499">
        <f t="shared" si="78"/>
        <v>0</v>
      </c>
      <c r="P131" s="309"/>
      <c r="Z131" s="168"/>
    </row>
    <row r="132" ht="16.5" customHeight="1" outlineLevel="3" spans="2:26">
      <c r="B132" s="470" t="s">
        <v>1790</v>
      </c>
      <c r="C132" s="473" t="s">
        <v>622</v>
      </c>
      <c r="D132" s="507" t="s">
        <v>1791</v>
      </c>
      <c r="E132" s="479" t="s">
        <v>1387</v>
      </c>
      <c r="F132" s="479" t="s">
        <v>1792</v>
      </c>
      <c r="G132" s="525">
        <v>4</v>
      </c>
      <c r="H132" s="503" t="s">
        <v>1954</v>
      </c>
      <c r="I132" s="475">
        <f>($J$2+1)*$I$2/2+($N$2+1)*$I$2/2</f>
        <v>0</v>
      </c>
      <c r="J132" s="475">
        <v>170</v>
      </c>
      <c r="K132" s="517">
        <v>0.11</v>
      </c>
      <c r="L132" s="477">
        <f t="shared" ref="L132:L136" si="80">G132*I132*J132/10000</f>
        <v>0</v>
      </c>
      <c r="M132" s="477">
        <f t="shared" ref="M132:M136" si="81">L132*K132</f>
        <v>0</v>
      </c>
      <c r="N132" s="498">
        <f t="shared" ref="N132:N136" si="82">L132+M132</f>
        <v>0</v>
      </c>
      <c r="O132" s="499">
        <f t="shared" si="78"/>
        <v>0</v>
      </c>
      <c r="P132" s="309"/>
      <c r="Z132" s="168"/>
    </row>
    <row r="133" ht="16.5" customHeight="1" outlineLevel="3" spans="2:26">
      <c r="B133" s="470" t="s">
        <v>1794</v>
      </c>
      <c r="C133" s="473" t="s">
        <v>622</v>
      </c>
      <c r="D133" s="507" t="s">
        <v>1795</v>
      </c>
      <c r="E133" s="479" t="s">
        <v>1387</v>
      </c>
      <c r="F133" s="479"/>
      <c r="G133" s="525"/>
      <c r="H133" s="292"/>
      <c r="I133" s="475"/>
      <c r="J133" s="475"/>
      <c r="K133" s="517">
        <v>0.11</v>
      </c>
      <c r="L133" s="477">
        <f t="shared" si="80"/>
        <v>0</v>
      </c>
      <c r="M133" s="477">
        <f t="shared" si="81"/>
        <v>0</v>
      </c>
      <c r="N133" s="498">
        <f t="shared" si="82"/>
        <v>0</v>
      </c>
      <c r="O133" s="499">
        <f t="shared" si="78"/>
        <v>0</v>
      </c>
      <c r="P133" s="309"/>
      <c r="Z133" s="168"/>
    </row>
    <row r="134" ht="16.5" customHeight="1" outlineLevel="3" spans="2:26">
      <c r="B134" s="470" t="s">
        <v>1796</v>
      </c>
      <c r="C134" s="473" t="s">
        <v>622</v>
      </c>
      <c r="D134" s="507" t="s">
        <v>1797</v>
      </c>
      <c r="E134" s="479" t="s">
        <v>1387</v>
      </c>
      <c r="F134" s="479" t="s">
        <v>601</v>
      </c>
      <c r="G134" s="525">
        <v>6</v>
      </c>
      <c r="H134" s="292" t="s">
        <v>1637</v>
      </c>
      <c r="I134" s="475">
        <f>$H$2</f>
        <v>0</v>
      </c>
      <c r="J134" s="475">
        <v>260</v>
      </c>
      <c r="K134" s="517">
        <v>0.11</v>
      </c>
      <c r="L134" s="477">
        <f t="shared" si="80"/>
        <v>0</v>
      </c>
      <c r="M134" s="477">
        <f t="shared" si="81"/>
        <v>0</v>
      </c>
      <c r="N134" s="498">
        <f t="shared" si="82"/>
        <v>0</v>
      </c>
      <c r="O134" s="499">
        <f t="shared" si="78"/>
        <v>0</v>
      </c>
      <c r="P134" s="309"/>
      <c r="Z134" s="168"/>
    </row>
    <row r="135" ht="16.5" customHeight="1" outlineLevel="3" spans="2:26">
      <c r="B135" s="470" t="s">
        <v>1798</v>
      </c>
      <c r="C135" s="473" t="s">
        <v>622</v>
      </c>
      <c r="D135" s="507" t="s">
        <v>1799</v>
      </c>
      <c r="E135" s="479" t="s">
        <v>1386</v>
      </c>
      <c r="F135" s="479" t="s">
        <v>601</v>
      </c>
      <c r="G135" s="510">
        <v>8</v>
      </c>
      <c r="H135" s="524" t="s">
        <v>1637</v>
      </c>
      <c r="I135" s="475">
        <f>$H$2</f>
        <v>0</v>
      </c>
      <c r="J135" s="475">
        <v>125</v>
      </c>
      <c r="K135" s="517">
        <v>0.11</v>
      </c>
      <c r="L135" s="477">
        <f t="shared" si="80"/>
        <v>0</v>
      </c>
      <c r="M135" s="477">
        <f t="shared" si="81"/>
        <v>0</v>
      </c>
      <c r="N135" s="498">
        <f t="shared" si="82"/>
        <v>0</v>
      </c>
      <c r="O135" s="499">
        <f t="shared" si="78"/>
        <v>0</v>
      </c>
      <c r="P135" s="309"/>
      <c r="Z135" s="168"/>
    </row>
    <row r="136" ht="16.5" customHeight="1" outlineLevel="3" spans="2:26">
      <c r="B136" s="470" t="s">
        <v>1800</v>
      </c>
      <c r="C136" s="473" t="s">
        <v>622</v>
      </c>
      <c r="D136" s="507" t="s">
        <v>1801</v>
      </c>
      <c r="E136" s="479" t="s">
        <v>1387</v>
      </c>
      <c r="F136" s="479" t="s">
        <v>601</v>
      </c>
      <c r="G136" s="511">
        <v>8</v>
      </c>
      <c r="H136" s="292" t="s">
        <v>1785</v>
      </c>
      <c r="I136" s="475">
        <f>$H$2</f>
        <v>0</v>
      </c>
      <c r="J136" s="475">
        <v>200</v>
      </c>
      <c r="K136" s="517">
        <v>0.11</v>
      </c>
      <c r="L136" s="477">
        <f t="shared" si="80"/>
        <v>0</v>
      </c>
      <c r="M136" s="477">
        <f t="shared" si="81"/>
        <v>0</v>
      </c>
      <c r="N136" s="498">
        <f t="shared" si="82"/>
        <v>0</v>
      </c>
      <c r="O136" s="499">
        <f t="shared" si="78"/>
        <v>0</v>
      </c>
      <c r="P136" s="309"/>
      <c r="Z136" s="168"/>
    </row>
    <row r="137" ht="16.5" customHeight="1" outlineLevel="2" spans="2:26">
      <c r="B137" s="470" t="s">
        <v>1802</v>
      </c>
      <c r="C137" s="471" t="s">
        <v>762</v>
      </c>
      <c r="D137" s="507" t="s">
        <v>1803</v>
      </c>
      <c r="E137" s="290"/>
      <c r="F137" s="290"/>
      <c r="G137" s="292"/>
      <c r="H137" s="292"/>
      <c r="I137" s="475"/>
      <c r="J137" s="475"/>
      <c r="K137" s="517"/>
      <c r="L137" s="301">
        <f t="shared" ref="L137:N137" si="83">SUM(L138:L141)</f>
        <v>45.675</v>
      </c>
      <c r="M137" s="301">
        <f t="shared" si="83"/>
        <v>5.02425</v>
      </c>
      <c r="N137" s="301">
        <f t="shared" si="83"/>
        <v>50.69925</v>
      </c>
      <c r="O137" s="499">
        <f t="shared" si="78"/>
        <v>101.3985</v>
      </c>
      <c r="P137" s="309"/>
      <c r="Z137" s="168"/>
    </row>
    <row r="138" ht="16.5" customHeight="1" outlineLevel="3" spans="2:26">
      <c r="B138" s="470" t="s">
        <v>1804</v>
      </c>
      <c r="C138" s="473" t="s">
        <v>622</v>
      </c>
      <c r="D138" s="507" t="s">
        <v>1805</v>
      </c>
      <c r="E138" s="479" t="s">
        <v>1386</v>
      </c>
      <c r="F138" s="479" t="s">
        <v>602</v>
      </c>
      <c r="G138" s="502">
        <f>5.4*4</f>
        <v>21.6</v>
      </c>
      <c r="H138" s="503" t="s">
        <v>1998</v>
      </c>
      <c r="I138" s="475">
        <f>$I$2</f>
        <v>0</v>
      </c>
      <c r="J138" s="475">
        <v>1500</v>
      </c>
      <c r="K138" s="517">
        <v>0.11</v>
      </c>
      <c r="L138" s="477">
        <f t="shared" ref="L138:L141" si="84">G138*I138*J138/10000</f>
        <v>0</v>
      </c>
      <c r="M138" s="477">
        <f t="shared" ref="M138:M141" si="85">L138*K138</f>
        <v>0</v>
      </c>
      <c r="N138" s="498">
        <f t="shared" ref="N138:N141" si="86">L138+M138</f>
        <v>0</v>
      </c>
      <c r="O138" s="499">
        <f t="shared" si="78"/>
        <v>0</v>
      </c>
      <c r="P138" s="309"/>
      <c r="Z138" s="168"/>
    </row>
    <row r="139" ht="16.5" customHeight="1" outlineLevel="3" spans="2:26">
      <c r="B139" s="470" t="s">
        <v>1807</v>
      </c>
      <c r="C139" s="473" t="s">
        <v>622</v>
      </c>
      <c r="D139" s="507" t="s">
        <v>1808</v>
      </c>
      <c r="E139" s="479" t="s">
        <v>1389</v>
      </c>
      <c r="F139" s="479" t="s">
        <v>601</v>
      </c>
      <c r="G139" s="525">
        <v>1</v>
      </c>
      <c r="H139" s="292" t="s">
        <v>1809</v>
      </c>
      <c r="I139" s="475">
        <f>$H$2</f>
        <v>0</v>
      </c>
      <c r="J139" s="475">
        <v>1800</v>
      </c>
      <c r="K139" s="517">
        <v>0.11</v>
      </c>
      <c r="L139" s="477">
        <f t="shared" si="84"/>
        <v>0</v>
      </c>
      <c r="M139" s="477">
        <f t="shared" si="85"/>
        <v>0</v>
      </c>
      <c r="N139" s="498">
        <f t="shared" si="86"/>
        <v>0</v>
      </c>
      <c r="O139" s="499">
        <f t="shared" si="78"/>
        <v>0</v>
      </c>
      <c r="P139" s="309"/>
      <c r="Z139" s="168"/>
    </row>
    <row r="140" ht="16.5" customHeight="1" outlineLevel="3" spans="2:26">
      <c r="B140" s="470" t="s">
        <v>1810</v>
      </c>
      <c r="C140" s="473" t="s">
        <v>622</v>
      </c>
      <c r="D140" s="507" t="s">
        <v>1811</v>
      </c>
      <c r="E140" s="290" t="s">
        <v>931</v>
      </c>
      <c r="F140" s="479" t="s">
        <v>1792</v>
      </c>
      <c r="G140" s="525">
        <v>15.25</v>
      </c>
      <c r="H140" s="503" t="s">
        <v>1861</v>
      </c>
      <c r="I140" s="475">
        <f>($J$2+1)*$I$2/2+($N$2+1)*$I$2/2</f>
        <v>0</v>
      </c>
      <c r="J140" s="475">
        <v>520</v>
      </c>
      <c r="K140" s="517">
        <v>0.11</v>
      </c>
      <c r="L140" s="477">
        <f t="shared" si="84"/>
        <v>0</v>
      </c>
      <c r="M140" s="477">
        <f t="shared" si="85"/>
        <v>0</v>
      </c>
      <c r="N140" s="498">
        <f t="shared" si="86"/>
        <v>0</v>
      </c>
      <c r="O140" s="499">
        <f t="shared" si="78"/>
        <v>0</v>
      </c>
      <c r="P140" s="309"/>
      <c r="Z140" s="168"/>
    </row>
    <row r="141" ht="16.5" customHeight="1" outlineLevel="3" spans="2:26">
      <c r="B141" s="470" t="s">
        <v>1812</v>
      </c>
      <c r="C141" s="473" t="s">
        <v>622</v>
      </c>
      <c r="D141" s="507" t="s">
        <v>1813</v>
      </c>
      <c r="E141" s="479" t="s">
        <v>1386</v>
      </c>
      <c r="F141" s="290" t="s">
        <v>1537</v>
      </c>
      <c r="G141" s="510">
        <v>0.21</v>
      </c>
      <c r="H141" s="503" t="s">
        <v>1015</v>
      </c>
      <c r="I141" s="475">
        <f>$E$2*(1+$F$2)</f>
        <v>5000</v>
      </c>
      <c r="J141" s="475">
        <v>435</v>
      </c>
      <c r="K141" s="517">
        <v>0.11</v>
      </c>
      <c r="L141" s="477">
        <f t="shared" si="84"/>
        <v>45.675</v>
      </c>
      <c r="M141" s="477">
        <f t="shared" si="85"/>
        <v>5.02425</v>
      </c>
      <c r="N141" s="498">
        <f t="shared" si="86"/>
        <v>50.69925</v>
      </c>
      <c r="O141" s="499">
        <f t="shared" si="78"/>
        <v>101.3985</v>
      </c>
      <c r="P141" s="309"/>
      <c r="Z141" s="168"/>
    </row>
    <row r="142" ht="16.5" customHeight="1" outlineLevel="2" spans="2:26">
      <c r="B142" s="470" t="s">
        <v>1814</v>
      </c>
      <c r="C142" s="471" t="s">
        <v>778</v>
      </c>
      <c r="D142" s="507" t="s">
        <v>1815</v>
      </c>
      <c r="E142" s="290"/>
      <c r="F142" s="290"/>
      <c r="G142" s="292"/>
      <c r="H142" s="292"/>
      <c r="I142" s="475"/>
      <c r="J142" s="475"/>
      <c r="K142" s="517"/>
      <c r="L142" s="301">
        <f t="shared" ref="L142:N142" si="87">SUM(L143:L146)</f>
        <v>1.96183457536256</v>
      </c>
      <c r="M142" s="301">
        <f t="shared" si="87"/>
        <v>0.215801803289882</v>
      </c>
      <c r="N142" s="301">
        <f t="shared" si="87"/>
        <v>2.17763637865244</v>
      </c>
      <c r="O142" s="499">
        <f t="shared" si="78"/>
        <v>4.35527275730489</v>
      </c>
      <c r="P142" s="309"/>
      <c r="Z142" s="168"/>
    </row>
    <row r="143" ht="16.5" customHeight="1" outlineLevel="3" spans="2:26">
      <c r="B143" s="470" t="s">
        <v>1816</v>
      </c>
      <c r="C143" s="473" t="s">
        <v>622</v>
      </c>
      <c r="D143" s="526" t="s">
        <v>1817</v>
      </c>
      <c r="E143" s="502" t="s">
        <v>774</v>
      </c>
      <c r="F143" s="502" t="s">
        <v>862</v>
      </c>
      <c r="G143" s="502">
        <v>0.9</v>
      </c>
      <c r="H143" s="292" t="s">
        <v>1015</v>
      </c>
      <c r="I143" s="475">
        <f>$G$2</f>
        <v>200</v>
      </c>
      <c r="J143" s="475">
        <v>60</v>
      </c>
      <c r="K143" s="517">
        <v>0.11</v>
      </c>
      <c r="L143" s="477">
        <f t="shared" ref="L143:L146" si="88">G143*I143*J143/10000</f>
        <v>1.08</v>
      </c>
      <c r="M143" s="477">
        <f t="shared" ref="M143:M146" si="89">L143*K143</f>
        <v>0.1188</v>
      </c>
      <c r="N143" s="498">
        <f t="shared" ref="N143:N146" si="90">L143+M143</f>
        <v>1.1988</v>
      </c>
      <c r="O143" s="499">
        <f t="shared" si="78"/>
        <v>2.3976</v>
      </c>
      <c r="P143" s="309"/>
      <c r="Z143" s="168"/>
    </row>
    <row r="144" ht="16.5" customHeight="1" outlineLevel="3" spans="2:26">
      <c r="B144" s="470" t="s">
        <v>1818</v>
      </c>
      <c r="C144" s="473" t="s">
        <v>622</v>
      </c>
      <c r="D144" s="526" t="s">
        <v>1821</v>
      </c>
      <c r="E144" s="502" t="s">
        <v>1390</v>
      </c>
      <c r="F144" s="502"/>
      <c r="G144" s="502"/>
      <c r="H144" s="524"/>
      <c r="I144" s="475"/>
      <c r="J144" s="475"/>
      <c r="K144" s="517">
        <v>0.17</v>
      </c>
      <c r="L144" s="477">
        <f t="shared" si="88"/>
        <v>0</v>
      </c>
      <c r="M144" s="477">
        <f t="shared" si="89"/>
        <v>0</v>
      </c>
      <c r="N144" s="498">
        <f t="shared" si="90"/>
        <v>0</v>
      </c>
      <c r="O144" s="499">
        <f t="shared" si="78"/>
        <v>0</v>
      </c>
      <c r="P144" s="309"/>
      <c r="Z144" s="168"/>
    </row>
    <row r="145" ht="16.5" customHeight="1" outlineLevel="3" spans="2:26">
      <c r="B145" s="470" t="s">
        <v>1820</v>
      </c>
      <c r="C145" s="473" t="s">
        <v>622</v>
      </c>
      <c r="D145" s="526" t="s">
        <v>1823</v>
      </c>
      <c r="E145" s="290" t="s">
        <v>1073</v>
      </c>
      <c r="F145" s="290" t="s">
        <v>1537</v>
      </c>
      <c r="G145" s="510">
        <v>1</v>
      </c>
      <c r="H145" s="503" t="s">
        <v>655</v>
      </c>
      <c r="I145" s="475">
        <f>$E$2*(1+$F$2)</f>
        <v>5000</v>
      </c>
      <c r="J145" s="475">
        <v>1.76366915072512</v>
      </c>
      <c r="K145" s="517">
        <v>0.11</v>
      </c>
      <c r="L145" s="477">
        <f t="shared" si="88"/>
        <v>0.881834575362562</v>
      </c>
      <c r="M145" s="477">
        <f t="shared" si="89"/>
        <v>0.0970018032898818</v>
      </c>
      <c r="N145" s="498">
        <f t="shared" si="90"/>
        <v>0.978836378652444</v>
      </c>
      <c r="O145" s="499">
        <f t="shared" si="78"/>
        <v>1.95767275730489</v>
      </c>
      <c r="P145" s="309"/>
      <c r="Z145" s="168"/>
    </row>
    <row r="146" ht="16.5" customHeight="1" outlineLevel="3" spans="2:26">
      <c r="B146" s="470" t="s">
        <v>1822</v>
      </c>
      <c r="C146" s="473" t="s">
        <v>622</v>
      </c>
      <c r="D146" s="526" t="s">
        <v>1825</v>
      </c>
      <c r="E146" s="479" t="s">
        <v>1391</v>
      </c>
      <c r="F146" s="479" t="s">
        <v>601</v>
      </c>
      <c r="G146" s="502">
        <v>1</v>
      </c>
      <c r="H146" s="524" t="s">
        <v>1826</v>
      </c>
      <c r="I146" s="475">
        <f>$H$2</f>
        <v>0</v>
      </c>
      <c r="J146" s="475">
        <v>120</v>
      </c>
      <c r="K146" s="517">
        <v>0.11</v>
      </c>
      <c r="L146" s="477">
        <f t="shared" si="88"/>
        <v>0</v>
      </c>
      <c r="M146" s="477">
        <f t="shared" si="89"/>
        <v>0</v>
      </c>
      <c r="N146" s="498">
        <f t="shared" si="90"/>
        <v>0</v>
      </c>
      <c r="O146" s="499">
        <f t="shared" si="78"/>
        <v>0</v>
      </c>
      <c r="P146" s="309"/>
      <c r="Z146" s="168"/>
    </row>
    <row r="147" ht="16.5" customHeight="1" outlineLevel="3" spans="2:26">
      <c r="B147" s="470"/>
      <c r="C147" s="473"/>
      <c r="D147" s="526"/>
      <c r="E147" s="290"/>
      <c r="F147" s="290"/>
      <c r="G147" s="510"/>
      <c r="H147" s="503"/>
      <c r="I147" s="475"/>
      <c r="J147" s="475"/>
      <c r="K147" s="517"/>
      <c r="L147" s="524"/>
      <c r="M147" s="524"/>
      <c r="N147" s="498"/>
      <c r="O147" s="499"/>
      <c r="P147" s="309"/>
      <c r="Z147" s="168"/>
    </row>
    <row r="148" ht="16.5" customHeight="1" outlineLevel="1" spans="2:26">
      <c r="B148" s="121" t="s">
        <v>551</v>
      </c>
      <c r="C148" s="193">
        <v>2</v>
      </c>
      <c r="D148" s="121" t="s">
        <v>552</v>
      </c>
      <c r="E148" s="193"/>
      <c r="F148" s="193"/>
      <c r="G148" s="193"/>
      <c r="H148" s="155"/>
      <c r="I148" s="492"/>
      <c r="J148" s="492"/>
      <c r="K148" s="521"/>
      <c r="L148" s="155">
        <f t="shared" ref="L148:N148" si="91">SUM(L149,L156,L162:L165,L170:L173)</f>
        <v>0</v>
      </c>
      <c r="M148" s="155">
        <f t="shared" si="91"/>
        <v>0</v>
      </c>
      <c r="N148" s="155">
        <f t="shared" si="91"/>
        <v>0</v>
      </c>
      <c r="O148" s="495">
        <f t="shared" ref="O148:O197" si="92">IF(N148="","",N148*10000/E$2)</f>
        <v>0</v>
      </c>
      <c r="P148" s="233"/>
      <c r="Z148" s="168"/>
    </row>
    <row r="149" ht="16.5" customHeight="1" outlineLevel="2" spans="2:26">
      <c r="B149" s="470" t="s">
        <v>1828</v>
      </c>
      <c r="C149" s="471" t="s">
        <v>619</v>
      </c>
      <c r="D149" s="507" t="s">
        <v>1829</v>
      </c>
      <c r="E149" s="290"/>
      <c r="F149" s="290"/>
      <c r="G149" s="292"/>
      <c r="H149" s="292"/>
      <c r="I149" s="475"/>
      <c r="J149" s="475"/>
      <c r="K149" s="517"/>
      <c r="L149" s="301">
        <f t="shared" ref="L149:N149" si="93">SUM(L150:L155)</f>
        <v>0</v>
      </c>
      <c r="M149" s="301">
        <f t="shared" si="93"/>
        <v>0</v>
      </c>
      <c r="N149" s="301">
        <f t="shared" si="93"/>
        <v>0</v>
      </c>
      <c r="O149" s="499">
        <f t="shared" si="92"/>
        <v>0</v>
      </c>
      <c r="P149" s="309"/>
      <c r="Z149" s="168"/>
    </row>
    <row r="150" ht="16.5" customHeight="1" outlineLevel="3" spans="2:26">
      <c r="B150" s="470" t="s">
        <v>1830</v>
      </c>
      <c r="C150" s="473" t="s">
        <v>622</v>
      </c>
      <c r="D150" s="527" t="s">
        <v>1831</v>
      </c>
      <c r="E150" s="290" t="s">
        <v>1363</v>
      </c>
      <c r="F150" s="290" t="s">
        <v>602</v>
      </c>
      <c r="G150" s="292">
        <v>55</v>
      </c>
      <c r="H150" s="503" t="s">
        <v>1832</v>
      </c>
      <c r="I150" s="475"/>
      <c r="J150" s="475">
        <v>1855</v>
      </c>
      <c r="K150" s="517">
        <v>0.11</v>
      </c>
      <c r="L150" s="477">
        <f t="shared" ref="L150:L155" si="94">G150*I150*J150/10000</f>
        <v>0</v>
      </c>
      <c r="M150" s="477">
        <f t="shared" ref="M150:M155" si="95">L150*K150</f>
        <v>0</v>
      </c>
      <c r="N150" s="498">
        <f t="shared" ref="N150:N155" si="96">L150+M150</f>
        <v>0</v>
      </c>
      <c r="O150" s="499">
        <f t="shared" si="92"/>
        <v>0</v>
      </c>
      <c r="P150" s="309"/>
      <c r="Z150" s="168"/>
    </row>
    <row r="151" ht="16.5" customHeight="1" outlineLevel="3" spans="2:26">
      <c r="B151" s="470" t="s">
        <v>1833</v>
      </c>
      <c r="C151" s="473" t="s">
        <v>622</v>
      </c>
      <c r="D151" s="527" t="s">
        <v>1834</v>
      </c>
      <c r="E151" s="290" t="s">
        <v>1371</v>
      </c>
      <c r="F151" s="290" t="s">
        <v>602</v>
      </c>
      <c r="G151" s="292">
        <v>55</v>
      </c>
      <c r="H151" s="503" t="s">
        <v>1832</v>
      </c>
      <c r="I151" s="475"/>
      <c r="J151" s="475">
        <v>662.5</v>
      </c>
      <c r="K151" s="517">
        <v>0.17</v>
      </c>
      <c r="L151" s="477">
        <f t="shared" si="94"/>
        <v>0</v>
      </c>
      <c r="M151" s="477">
        <f t="shared" si="95"/>
        <v>0</v>
      </c>
      <c r="N151" s="498">
        <f t="shared" si="96"/>
        <v>0</v>
      </c>
      <c r="O151" s="499">
        <f t="shared" si="92"/>
        <v>0</v>
      </c>
      <c r="P151" s="309"/>
      <c r="Z151" s="168"/>
    </row>
    <row r="152" ht="16.5" customHeight="1" outlineLevel="3" spans="2:26">
      <c r="B152" s="470" t="s">
        <v>1835</v>
      </c>
      <c r="C152" s="473" t="s">
        <v>622</v>
      </c>
      <c r="D152" s="527" t="s">
        <v>1836</v>
      </c>
      <c r="E152" s="290" t="s">
        <v>1373</v>
      </c>
      <c r="F152" s="290" t="s">
        <v>602</v>
      </c>
      <c r="G152" s="292">
        <v>55</v>
      </c>
      <c r="H152" s="503" t="s">
        <v>1832</v>
      </c>
      <c r="I152" s="475"/>
      <c r="J152" s="475">
        <v>132.5</v>
      </c>
      <c r="K152" s="517">
        <v>0.17</v>
      </c>
      <c r="L152" s="477">
        <f t="shared" si="94"/>
        <v>0</v>
      </c>
      <c r="M152" s="477">
        <f t="shared" si="95"/>
        <v>0</v>
      </c>
      <c r="N152" s="498">
        <f t="shared" si="96"/>
        <v>0</v>
      </c>
      <c r="O152" s="499">
        <f t="shared" si="92"/>
        <v>0</v>
      </c>
      <c r="P152" s="309"/>
      <c r="Z152" s="168"/>
    </row>
    <row r="153" ht="16.5" customHeight="1" outlineLevel="3" spans="2:26">
      <c r="B153" s="470" t="s">
        <v>1837</v>
      </c>
      <c r="C153" s="473" t="s">
        <v>622</v>
      </c>
      <c r="D153" s="527" t="s">
        <v>1838</v>
      </c>
      <c r="E153" s="528" t="s">
        <v>261</v>
      </c>
      <c r="F153" s="290"/>
      <c r="G153" s="292"/>
      <c r="H153" s="292"/>
      <c r="I153" s="475"/>
      <c r="J153" s="475"/>
      <c r="K153" s="517">
        <v>0.11</v>
      </c>
      <c r="L153" s="477">
        <f t="shared" si="94"/>
        <v>0</v>
      </c>
      <c r="M153" s="477">
        <f t="shared" si="95"/>
        <v>0</v>
      </c>
      <c r="N153" s="498">
        <f t="shared" si="96"/>
        <v>0</v>
      </c>
      <c r="O153" s="499">
        <f t="shared" si="92"/>
        <v>0</v>
      </c>
      <c r="P153" s="309"/>
      <c r="Z153" s="168"/>
    </row>
    <row r="154" ht="16.5" customHeight="1" outlineLevel="3" spans="2:26">
      <c r="B154" s="470" t="s">
        <v>1839</v>
      </c>
      <c r="C154" s="473" t="s">
        <v>622</v>
      </c>
      <c r="D154" s="527" t="s">
        <v>1840</v>
      </c>
      <c r="E154" s="290"/>
      <c r="F154" s="290"/>
      <c r="G154" s="108"/>
      <c r="H154" s="292"/>
      <c r="I154" s="475"/>
      <c r="J154" s="475"/>
      <c r="K154" s="517">
        <v>0.17</v>
      </c>
      <c r="L154" s="477">
        <f t="shared" si="94"/>
        <v>0</v>
      </c>
      <c r="M154" s="477">
        <f t="shared" si="95"/>
        <v>0</v>
      </c>
      <c r="N154" s="498">
        <f t="shared" si="96"/>
        <v>0</v>
      </c>
      <c r="O154" s="499">
        <f t="shared" si="92"/>
        <v>0</v>
      </c>
      <c r="P154" s="523"/>
      <c r="Z154" s="168"/>
    </row>
    <row r="155" ht="16.5" customHeight="1" outlineLevel="3" spans="2:26">
      <c r="B155" s="470" t="s">
        <v>1839</v>
      </c>
      <c r="C155" s="473" t="s">
        <v>622</v>
      </c>
      <c r="D155" s="527" t="s">
        <v>1842</v>
      </c>
      <c r="E155" s="290"/>
      <c r="F155" s="290"/>
      <c r="G155" s="108"/>
      <c r="H155" s="292"/>
      <c r="I155" s="475"/>
      <c r="J155" s="475"/>
      <c r="K155" s="517">
        <v>0.11</v>
      </c>
      <c r="L155" s="477">
        <f t="shared" si="94"/>
        <v>0</v>
      </c>
      <c r="M155" s="477">
        <f t="shared" si="95"/>
        <v>0</v>
      </c>
      <c r="N155" s="498">
        <f t="shared" si="96"/>
        <v>0</v>
      </c>
      <c r="O155" s="499">
        <f t="shared" si="92"/>
        <v>0</v>
      </c>
      <c r="P155" s="523"/>
      <c r="Z155" s="168"/>
    </row>
    <row r="156" ht="16.5" customHeight="1" outlineLevel="2" spans="2:26">
      <c r="B156" s="470" t="s">
        <v>1843</v>
      </c>
      <c r="C156" s="471" t="s">
        <v>657</v>
      </c>
      <c r="D156" s="507" t="s">
        <v>1844</v>
      </c>
      <c r="E156" s="290"/>
      <c r="F156" s="290"/>
      <c r="G156" s="292"/>
      <c r="H156" s="292"/>
      <c r="I156" s="475"/>
      <c r="J156" s="475"/>
      <c r="K156" s="517"/>
      <c r="L156" s="301">
        <f t="shared" ref="L156:N156" si="97">SUM(L157:L161)</f>
        <v>0</v>
      </c>
      <c r="M156" s="301">
        <f t="shared" si="97"/>
        <v>0</v>
      </c>
      <c r="N156" s="301">
        <f t="shared" si="97"/>
        <v>0</v>
      </c>
      <c r="O156" s="499">
        <f t="shared" si="92"/>
        <v>0</v>
      </c>
      <c r="P156" s="309"/>
      <c r="Z156" s="168"/>
    </row>
    <row r="157" ht="16.5" customHeight="1" outlineLevel="3" spans="2:26">
      <c r="B157" s="470" t="s">
        <v>1845</v>
      </c>
      <c r="C157" s="473" t="s">
        <v>622</v>
      </c>
      <c r="D157" s="527" t="s">
        <v>1846</v>
      </c>
      <c r="E157" s="290" t="s">
        <v>1363</v>
      </c>
      <c r="F157" s="290" t="s">
        <v>602</v>
      </c>
      <c r="G157" s="292">
        <v>50</v>
      </c>
      <c r="H157" s="503" t="s">
        <v>1832</v>
      </c>
      <c r="I157" s="475"/>
      <c r="J157" s="475">
        <v>770</v>
      </c>
      <c r="K157" s="517">
        <v>0.11</v>
      </c>
      <c r="L157" s="477">
        <f t="shared" ref="L157:L164" si="98">G157*I157*J157/10000</f>
        <v>0</v>
      </c>
      <c r="M157" s="477">
        <f t="shared" ref="M157:M164" si="99">L157*K157</f>
        <v>0</v>
      </c>
      <c r="N157" s="498">
        <f t="shared" ref="N157:N164" si="100">L157+M157</f>
        <v>0</v>
      </c>
      <c r="O157" s="499">
        <f t="shared" si="92"/>
        <v>0</v>
      </c>
      <c r="P157" s="309"/>
      <c r="Z157" s="168"/>
    </row>
    <row r="158" ht="16.5" customHeight="1" outlineLevel="3" spans="2:26">
      <c r="B158" s="470" t="s">
        <v>1847</v>
      </c>
      <c r="C158" s="473" t="s">
        <v>622</v>
      </c>
      <c r="D158" s="527" t="s">
        <v>1848</v>
      </c>
      <c r="E158" s="290" t="s">
        <v>1371</v>
      </c>
      <c r="F158" s="290" t="s">
        <v>602</v>
      </c>
      <c r="G158" s="292">
        <v>50</v>
      </c>
      <c r="H158" s="503" t="s">
        <v>1832</v>
      </c>
      <c r="I158" s="475"/>
      <c r="J158" s="475">
        <v>275</v>
      </c>
      <c r="K158" s="517">
        <v>0.17</v>
      </c>
      <c r="L158" s="477">
        <f t="shared" si="98"/>
        <v>0</v>
      </c>
      <c r="M158" s="477">
        <f t="shared" si="99"/>
        <v>0</v>
      </c>
      <c r="N158" s="498">
        <f t="shared" si="100"/>
        <v>0</v>
      </c>
      <c r="O158" s="499">
        <f t="shared" si="92"/>
        <v>0</v>
      </c>
      <c r="P158" s="309"/>
      <c r="Z158" s="168"/>
    </row>
    <row r="159" ht="16.5" customHeight="1" outlineLevel="3" spans="2:26">
      <c r="B159" s="470" t="s">
        <v>1849</v>
      </c>
      <c r="C159" s="473" t="s">
        <v>622</v>
      </c>
      <c r="D159" s="527" t="s">
        <v>1850</v>
      </c>
      <c r="E159" s="290" t="s">
        <v>1373</v>
      </c>
      <c r="F159" s="290" t="s">
        <v>602</v>
      </c>
      <c r="G159" s="292">
        <v>50</v>
      </c>
      <c r="H159" s="503" t="s">
        <v>1832</v>
      </c>
      <c r="I159" s="475"/>
      <c r="J159" s="475">
        <v>55</v>
      </c>
      <c r="K159" s="517">
        <v>0.17</v>
      </c>
      <c r="L159" s="477">
        <f t="shared" si="98"/>
        <v>0</v>
      </c>
      <c r="M159" s="477">
        <f t="shared" si="99"/>
        <v>0</v>
      </c>
      <c r="N159" s="498">
        <f t="shared" si="100"/>
        <v>0</v>
      </c>
      <c r="O159" s="499">
        <f t="shared" si="92"/>
        <v>0</v>
      </c>
      <c r="P159" s="309"/>
      <c r="Z159" s="168"/>
    </row>
    <row r="160" ht="16.5" customHeight="1" outlineLevel="3" spans="2:26">
      <c r="B160" s="470" t="s">
        <v>1851</v>
      </c>
      <c r="C160" s="473" t="s">
        <v>622</v>
      </c>
      <c r="D160" s="527" t="s">
        <v>1852</v>
      </c>
      <c r="E160" s="290" t="s">
        <v>261</v>
      </c>
      <c r="F160" s="290"/>
      <c r="G160" s="292"/>
      <c r="H160" s="292"/>
      <c r="I160" s="475"/>
      <c r="J160" s="475"/>
      <c r="K160" s="517">
        <v>0.11</v>
      </c>
      <c r="L160" s="477">
        <f t="shared" si="98"/>
        <v>0</v>
      </c>
      <c r="M160" s="477">
        <f t="shared" si="99"/>
        <v>0</v>
      </c>
      <c r="N160" s="498">
        <f t="shared" si="100"/>
        <v>0</v>
      </c>
      <c r="O160" s="499">
        <f t="shared" si="92"/>
        <v>0</v>
      </c>
      <c r="P160" s="309"/>
      <c r="Z160" s="168"/>
    </row>
    <row r="161" ht="16.5" customHeight="1" outlineLevel="3" spans="2:26">
      <c r="B161" s="470" t="s">
        <v>1853</v>
      </c>
      <c r="C161" s="473" t="s">
        <v>622</v>
      </c>
      <c r="D161" s="527" t="s">
        <v>1854</v>
      </c>
      <c r="E161" s="479"/>
      <c r="F161" s="479"/>
      <c r="G161" s="108"/>
      <c r="H161" s="292"/>
      <c r="I161" s="475"/>
      <c r="J161" s="475"/>
      <c r="K161" s="517">
        <v>0.17</v>
      </c>
      <c r="L161" s="477">
        <f t="shared" si="98"/>
        <v>0</v>
      </c>
      <c r="M161" s="477">
        <f t="shared" si="99"/>
        <v>0</v>
      </c>
      <c r="N161" s="498">
        <f t="shared" si="100"/>
        <v>0</v>
      </c>
      <c r="O161" s="499">
        <f t="shared" si="92"/>
        <v>0</v>
      </c>
      <c r="P161" s="523"/>
      <c r="Z161" s="168"/>
    </row>
    <row r="162" ht="16.5" customHeight="1" outlineLevel="2" spans="2:26">
      <c r="B162" s="470" t="s">
        <v>1855</v>
      </c>
      <c r="C162" s="471" t="s">
        <v>762</v>
      </c>
      <c r="D162" s="507" t="s">
        <v>1856</v>
      </c>
      <c r="E162" s="290"/>
      <c r="F162" s="290"/>
      <c r="G162" s="292"/>
      <c r="H162" s="292"/>
      <c r="I162" s="475"/>
      <c r="J162" s="475"/>
      <c r="K162" s="517">
        <v>0.11</v>
      </c>
      <c r="L162" s="477">
        <f t="shared" si="98"/>
        <v>0</v>
      </c>
      <c r="M162" s="477">
        <f t="shared" si="99"/>
        <v>0</v>
      </c>
      <c r="N162" s="498">
        <f t="shared" si="100"/>
        <v>0</v>
      </c>
      <c r="O162" s="499">
        <f t="shared" si="92"/>
        <v>0</v>
      </c>
      <c r="P162" s="309"/>
      <c r="Z162" s="168"/>
    </row>
    <row r="163" ht="16.5" customHeight="1" outlineLevel="2" spans="2:26">
      <c r="B163" s="470" t="s">
        <v>1857</v>
      </c>
      <c r="C163" s="471" t="s">
        <v>778</v>
      </c>
      <c r="D163" s="507" t="s">
        <v>1858</v>
      </c>
      <c r="E163" s="290" t="s">
        <v>1363</v>
      </c>
      <c r="F163" s="290" t="s">
        <v>602</v>
      </c>
      <c r="G163" s="292">
        <v>110</v>
      </c>
      <c r="H163" s="503" t="s">
        <v>1832</v>
      </c>
      <c r="I163" s="475"/>
      <c r="J163" s="475">
        <v>505</v>
      </c>
      <c r="K163" s="517">
        <v>0.11</v>
      </c>
      <c r="L163" s="477">
        <f t="shared" si="98"/>
        <v>0</v>
      </c>
      <c r="M163" s="477">
        <f t="shared" si="99"/>
        <v>0</v>
      </c>
      <c r="N163" s="498">
        <f t="shared" si="100"/>
        <v>0</v>
      </c>
      <c r="O163" s="499">
        <f t="shared" si="92"/>
        <v>0</v>
      </c>
      <c r="P163" s="309"/>
      <c r="Z163" s="168"/>
    </row>
    <row r="164" ht="16.5" customHeight="1" outlineLevel="2" spans="2:26">
      <c r="B164" s="470" t="s">
        <v>1859</v>
      </c>
      <c r="C164" s="471" t="s">
        <v>781</v>
      </c>
      <c r="D164" s="507" t="s">
        <v>1860</v>
      </c>
      <c r="E164" s="479" t="s">
        <v>774</v>
      </c>
      <c r="F164" s="479" t="s">
        <v>1792</v>
      </c>
      <c r="G164" s="525">
        <v>19.4</v>
      </c>
      <c r="H164" s="503" t="s">
        <v>1861</v>
      </c>
      <c r="I164" s="475"/>
      <c r="J164" s="475">
        <v>156.37</v>
      </c>
      <c r="K164" s="517">
        <v>0.11</v>
      </c>
      <c r="L164" s="477">
        <f t="shared" si="98"/>
        <v>0</v>
      </c>
      <c r="M164" s="477">
        <f t="shared" si="99"/>
        <v>0</v>
      </c>
      <c r="N164" s="498">
        <f t="shared" si="100"/>
        <v>0</v>
      </c>
      <c r="O164" s="499">
        <f t="shared" si="92"/>
        <v>0</v>
      </c>
      <c r="P164" s="309"/>
      <c r="Z164" s="168"/>
    </row>
    <row r="165" ht="16.5" customHeight="1" outlineLevel="2" spans="2:26">
      <c r="B165" s="470" t="s">
        <v>1862</v>
      </c>
      <c r="C165" s="471" t="s">
        <v>788</v>
      </c>
      <c r="D165" s="507" t="s">
        <v>1863</v>
      </c>
      <c r="E165" s="290"/>
      <c r="F165" s="290"/>
      <c r="G165" s="292"/>
      <c r="H165" s="292"/>
      <c r="I165" s="475"/>
      <c r="J165" s="475"/>
      <c r="K165" s="517"/>
      <c r="L165" s="477">
        <f t="shared" ref="L165:N165" si="101">SUM(L166:L169)</f>
        <v>0</v>
      </c>
      <c r="M165" s="477">
        <f t="shared" si="101"/>
        <v>0</v>
      </c>
      <c r="N165" s="477">
        <f t="shared" si="101"/>
        <v>0</v>
      </c>
      <c r="O165" s="499">
        <f t="shared" si="92"/>
        <v>0</v>
      </c>
      <c r="P165" s="309"/>
      <c r="Z165" s="168"/>
    </row>
    <row r="166" ht="16.5" customHeight="1" outlineLevel="3" spans="2:26">
      <c r="B166" s="470" t="s">
        <v>1864</v>
      </c>
      <c r="C166" s="473" t="s">
        <v>622</v>
      </c>
      <c r="D166" s="527" t="s">
        <v>1865</v>
      </c>
      <c r="E166" s="290" t="s">
        <v>1363</v>
      </c>
      <c r="F166" s="479" t="s">
        <v>1866</v>
      </c>
      <c r="G166" s="525">
        <v>26.6</v>
      </c>
      <c r="H166" s="503" t="s">
        <v>1861</v>
      </c>
      <c r="I166" s="475"/>
      <c r="J166" s="475">
        <v>611.8</v>
      </c>
      <c r="K166" s="517">
        <v>0.11</v>
      </c>
      <c r="L166" s="477">
        <f t="shared" ref="L166:L173" si="102">G166*I166*J166/10000</f>
        <v>0</v>
      </c>
      <c r="M166" s="477">
        <f t="shared" ref="M166:M173" si="103">L166*K166</f>
        <v>0</v>
      </c>
      <c r="N166" s="498">
        <f t="shared" ref="N166:N173" si="104">L166+M166</f>
        <v>0</v>
      </c>
      <c r="O166" s="499">
        <f t="shared" si="92"/>
        <v>0</v>
      </c>
      <c r="P166" s="523"/>
      <c r="Z166" s="168"/>
    </row>
    <row r="167" ht="16.5" customHeight="1" outlineLevel="3" spans="2:26">
      <c r="B167" s="470" t="s">
        <v>1867</v>
      </c>
      <c r="C167" s="473" t="s">
        <v>622</v>
      </c>
      <c r="D167" s="527" t="s">
        <v>1868</v>
      </c>
      <c r="E167" s="290" t="s">
        <v>1371</v>
      </c>
      <c r="F167" s="479" t="s">
        <v>1866</v>
      </c>
      <c r="G167" s="525">
        <v>26.6</v>
      </c>
      <c r="H167" s="503" t="s">
        <v>1861</v>
      </c>
      <c r="I167" s="475"/>
      <c r="J167" s="475">
        <v>174.8</v>
      </c>
      <c r="K167" s="517">
        <v>0.17</v>
      </c>
      <c r="L167" s="477">
        <f t="shared" si="102"/>
        <v>0</v>
      </c>
      <c r="M167" s="477">
        <f t="shared" si="103"/>
        <v>0</v>
      </c>
      <c r="N167" s="498">
        <f t="shared" si="104"/>
        <v>0</v>
      </c>
      <c r="O167" s="499">
        <f t="shared" si="92"/>
        <v>0</v>
      </c>
      <c r="P167" s="523"/>
      <c r="Z167" s="168"/>
    </row>
    <row r="168" ht="16.5" customHeight="1" outlineLevel="3" spans="2:26">
      <c r="B168" s="470" t="s">
        <v>1869</v>
      </c>
      <c r="C168" s="473" t="s">
        <v>622</v>
      </c>
      <c r="D168" s="527" t="s">
        <v>1870</v>
      </c>
      <c r="E168" s="290" t="s">
        <v>1373</v>
      </c>
      <c r="F168" s="479" t="s">
        <v>1866</v>
      </c>
      <c r="G168" s="525">
        <v>26.6</v>
      </c>
      <c r="H168" s="503" t="s">
        <v>1861</v>
      </c>
      <c r="I168" s="475"/>
      <c r="J168" s="475">
        <v>17.48</v>
      </c>
      <c r="K168" s="517">
        <v>0.17</v>
      </c>
      <c r="L168" s="477">
        <f t="shared" si="102"/>
        <v>0</v>
      </c>
      <c r="M168" s="477">
        <f t="shared" si="103"/>
        <v>0</v>
      </c>
      <c r="N168" s="498">
        <f t="shared" si="104"/>
        <v>0</v>
      </c>
      <c r="O168" s="499">
        <f t="shared" si="92"/>
        <v>0</v>
      </c>
      <c r="P168" s="523"/>
      <c r="Z168" s="168"/>
    </row>
    <row r="169" ht="16.5" customHeight="1" outlineLevel="3" spans="2:26">
      <c r="B169" s="470" t="s">
        <v>1871</v>
      </c>
      <c r="C169" s="473" t="s">
        <v>622</v>
      </c>
      <c r="D169" s="527" t="s">
        <v>1872</v>
      </c>
      <c r="E169" s="290" t="s">
        <v>1372</v>
      </c>
      <c r="F169" s="65"/>
      <c r="G169" s="525">
        <v>26.6</v>
      </c>
      <c r="H169" s="503" t="s">
        <v>1861</v>
      </c>
      <c r="I169" s="475"/>
      <c r="J169" s="475">
        <v>69.92</v>
      </c>
      <c r="K169" s="517">
        <v>0.17</v>
      </c>
      <c r="L169" s="477">
        <f t="shared" si="102"/>
        <v>0</v>
      </c>
      <c r="M169" s="477">
        <f t="shared" si="103"/>
        <v>0</v>
      </c>
      <c r="N169" s="498">
        <f t="shared" si="104"/>
        <v>0</v>
      </c>
      <c r="O169" s="499">
        <f t="shared" si="92"/>
        <v>0</v>
      </c>
      <c r="P169" s="523"/>
      <c r="Z169" s="168"/>
    </row>
    <row r="170" ht="16.5" customHeight="1" outlineLevel="2" spans="2:26">
      <c r="B170" s="470" t="s">
        <v>1873</v>
      </c>
      <c r="C170" s="471" t="s">
        <v>791</v>
      </c>
      <c r="D170" s="507" t="s">
        <v>1874</v>
      </c>
      <c r="E170" s="290"/>
      <c r="F170" s="290"/>
      <c r="G170" s="292"/>
      <c r="H170" s="292"/>
      <c r="I170" s="475"/>
      <c r="J170" s="475"/>
      <c r="K170" s="517">
        <v>0.11</v>
      </c>
      <c r="L170" s="477">
        <f t="shared" si="102"/>
        <v>0</v>
      </c>
      <c r="M170" s="477">
        <f t="shared" si="103"/>
        <v>0</v>
      </c>
      <c r="N170" s="498">
        <f t="shared" si="104"/>
        <v>0</v>
      </c>
      <c r="O170" s="499">
        <f t="shared" si="92"/>
        <v>0</v>
      </c>
      <c r="P170" s="309"/>
      <c r="Z170" s="168"/>
    </row>
    <row r="171" ht="16.5" customHeight="1" outlineLevel="2" spans="2:26">
      <c r="B171" s="470" t="s">
        <v>1875</v>
      </c>
      <c r="C171" s="471" t="s">
        <v>794</v>
      </c>
      <c r="D171" s="507" t="s">
        <v>1876</v>
      </c>
      <c r="E171" s="290"/>
      <c r="F171" s="290"/>
      <c r="G171" s="292"/>
      <c r="H171" s="292"/>
      <c r="I171" s="475"/>
      <c r="J171" s="475"/>
      <c r="K171" s="517">
        <v>0.11</v>
      </c>
      <c r="L171" s="477">
        <f t="shared" si="102"/>
        <v>0</v>
      </c>
      <c r="M171" s="477">
        <f t="shared" si="103"/>
        <v>0</v>
      </c>
      <c r="N171" s="498">
        <f t="shared" si="104"/>
        <v>0</v>
      </c>
      <c r="O171" s="499">
        <f t="shared" si="92"/>
        <v>0</v>
      </c>
      <c r="P171" s="309"/>
      <c r="Z171" s="168"/>
    </row>
    <row r="172" ht="16.5" customHeight="1" outlineLevel="2" spans="2:26">
      <c r="B172" s="470" t="s">
        <v>1877</v>
      </c>
      <c r="C172" s="471" t="s">
        <v>797</v>
      </c>
      <c r="D172" s="507" t="s">
        <v>1878</v>
      </c>
      <c r="E172" s="290"/>
      <c r="F172" s="290"/>
      <c r="G172" s="292"/>
      <c r="H172" s="292"/>
      <c r="I172" s="475"/>
      <c r="J172" s="475"/>
      <c r="K172" s="517">
        <v>0.11</v>
      </c>
      <c r="L172" s="477">
        <f t="shared" si="102"/>
        <v>0</v>
      </c>
      <c r="M172" s="477">
        <f t="shared" si="103"/>
        <v>0</v>
      </c>
      <c r="N172" s="498">
        <f t="shared" si="104"/>
        <v>0</v>
      </c>
      <c r="O172" s="499">
        <f t="shared" si="92"/>
        <v>0</v>
      </c>
      <c r="P172" s="309"/>
      <c r="Z172" s="168"/>
    </row>
    <row r="173" ht="16.5" customHeight="1" outlineLevel="2" spans="2:26">
      <c r="B173" s="470" t="s">
        <v>1879</v>
      </c>
      <c r="C173" s="471" t="s">
        <v>1519</v>
      </c>
      <c r="D173" s="507" t="s">
        <v>1880</v>
      </c>
      <c r="E173" s="290"/>
      <c r="F173" s="290"/>
      <c r="G173" s="292"/>
      <c r="H173" s="292"/>
      <c r="I173" s="475"/>
      <c r="J173" s="475"/>
      <c r="K173" s="517">
        <v>0.17</v>
      </c>
      <c r="L173" s="477">
        <f t="shared" si="102"/>
        <v>0</v>
      </c>
      <c r="M173" s="477">
        <f t="shared" si="103"/>
        <v>0</v>
      </c>
      <c r="N173" s="498">
        <f t="shared" si="104"/>
        <v>0</v>
      </c>
      <c r="O173" s="499">
        <f t="shared" si="92"/>
        <v>0</v>
      </c>
      <c r="P173" s="309"/>
      <c r="Z173" s="168"/>
    </row>
    <row r="174" s="456" customFormat="1" ht="16.5" customHeight="1" outlineLevel="1" spans="2:16">
      <c r="B174" s="529" t="s">
        <v>553</v>
      </c>
      <c r="C174" s="530">
        <v>3</v>
      </c>
      <c r="D174" s="529" t="s">
        <v>554</v>
      </c>
      <c r="E174" s="530"/>
      <c r="F174" s="530"/>
      <c r="G174" s="530"/>
      <c r="H174" s="531"/>
      <c r="I174" s="533"/>
      <c r="J174" s="533"/>
      <c r="K174" s="534"/>
      <c r="L174" s="531">
        <f t="shared" ref="L174:N174" si="105">SUM(L175,L184,L185)</f>
        <v>0</v>
      </c>
      <c r="M174" s="531">
        <f t="shared" si="105"/>
        <v>0</v>
      </c>
      <c r="N174" s="531">
        <f t="shared" si="105"/>
        <v>0</v>
      </c>
      <c r="O174" s="535">
        <f t="shared" si="92"/>
        <v>0</v>
      </c>
      <c r="P174" s="536"/>
    </row>
    <row r="175" ht="16.5" customHeight="1" outlineLevel="2" spans="2:26">
      <c r="B175" s="470" t="s">
        <v>1881</v>
      </c>
      <c r="C175" s="471" t="s">
        <v>619</v>
      </c>
      <c r="D175" s="507" t="s">
        <v>1882</v>
      </c>
      <c r="E175" s="479"/>
      <c r="F175" s="479"/>
      <c r="G175" s="292"/>
      <c r="H175" s="292"/>
      <c r="I175" s="475"/>
      <c r="J175" s="475"/>
      <c r="K175" s="517"/>
      <c r="L175" s="301">
        <f t="shared" ref="L175:N175" si="106">SUM(L176:L183)</f>
        <v>0</v>
      </c>
      <c r="M175" s="301">
        <f t="shared" si="106"/>
        <v>0</v>
      </c>
      <c r="N175" s="301">
        <f t="shared" si="106"/>
        <v>0</v>
      </c>
      <c r="O175" s="499">
        <f t="shared" si="92"/>
        <v>0</v>
      </c>
      <c r="P175" s="309"/>
      <c r="Z175" s="168"/>
    </row>
    <row r="176" ht="16.5" customHeight="1" outlineLevel="3" spans="2:26">
      <c r="B176" s="470" t="s">
        <v>1883</v>
      </c>
      <c r="C176" s="473" t="s">
        <v>622</v>
      </c>
      <c r="D176" s="507" t="s">
        <v>1884</v>
      </c>
      <c r="E176" s="479" t="s">
        <v>993</v>
      </c>
      <c r="F176" s="479"/>
      <c r="G176" s="292"/>
      <c r="H176" s="292"/>
      <c r="I176" s="475"/>
      <c r="J176" s="475"/>
      <c r="K176" s="517">
        <v>0.11</v>
      </c>
      <c r="L176" s="477">
        <f t="shared" ref="L176:L185" si="107">G176*I176*J176/10000</f>
        <v>0</v>
      </c>
      <c r="M176" s="477">
        <f t="shared" ref="M176:M185" si="108">L176*K176</f>
        <v>0</v>
      </c>
      <c r="N176" s="498">
        <f t="shared" ref="N176:N185" si="109">L176+M176</f>
        <v>0</v>
      </c>
      <c r="O176" s="499">
        <f t="shared" si="92"/>
        <v>0</v>
      </c>
      <c r="P176" s="523"/>
      <c r="Z176" s="168"/>
    </row>
    <row r="177" ht="16.5" customHeight="1" outlineLevel="3" spans="2:26">
      <c r="B177" s="470" t="s">
        <v>1885</v>
      </c>
      <c r="C177" s="473" t="s">
        <v>622</v>
      </c>
      <c r="D177" s="507" t="s">
        <v>1886</v>
      </c>
      <c r="E177" s="479" t="s">
        <v>1392</v>
      </c>
      <c r="F177" s="479" t="s">
        <v>601</v>
      </c>
      <c r="G177" s="525">
        <v>1</v>
      </c>
      <c r="H177" s="292" t="s">
        <v>1668</v>
      </c>
      <c r="I177" s="475"/>
      <c r="J177" s="475">
        <v>600</v>
      </c>
      <c r="K177" s="517">
        <v>0.11</v>
      </c>
      <c r="L177" s="477">
        <f t="shared" si="107"/>
        <v>0</v>
      </c>
      <c r="M177" s="477">
        <f t="shared" si="108"/>
        <v>0</v>
      </c>
      <c r="N177" s="498">
        <f t="shared" si="109"/>
        <v>0</v>
      </c>
      <c r="O177" s="499">
        <f t="shared" si="92"/>
        <v>0</v>
      </c>
      <c r="P177" s="523"/>
      <c r="Z177" s="168"/>
    </row>
    <row r="178" ht="16.5" customHeight="1" outlineLevel="3" spans="2:26">
      <c r="B178" s="470" t="s">
        <v>1887</v>
      </c>
      <c r="C178" s="473" t="s">
        <v>622</v>
      </c>
      <c r="D178" s="507" t="s">
        <v>1888</v>
      </c>
      <c r="E178" s="479" t="s">
        <v>1393</v>
      </c>
      <c r="F178" s="479" t="s">
        <v>601</v>
      </c>
      <c r="G178" s="525">
        <v>1</v>
      </c>
      <c r="H178" s="292" t="s">
        <v>1668</v>
      </c>
      <c r="I178" s="475"/>
      <c r="J178" s="475">
        <v>900</v>
      </c>
      <c r="K178" s="517">
        <v>0.11</v>
      </c>
      <c r="L178" s="477">
        <f t="shared" si="107"/>
        <v>0</v>
      </c>
      <c r="M178" s="477">
        <f t="shared" si="108"/>
        <v>0</v>
      </c>
      <c r="N178" s="498">
        <f t="shared" si="109"/>
        <v>0</v>
      </c>
      <c r="O178" s="499">
        <f t="shared" si="92"/>
        <v>0</v>
      </c>
      <c r="P178" s="309"/>
      <c r="Z178" s="168"/>
    </row>
    <row r="179" ht="16.5" customHeight="1" outlineLevel="3" spans="2:26">
      <c r="B179" s="470" t="s">
        <v>1889</v>
      </c>
      <c r="C179" s="473" t="s">
        <v>622</v>
      </c>
      <c r="D179" s="507" t="s">
        <v>1890</v>
      </c>
      <c r="E179" s="290"/>
      <c r="F179" s="290"/>
      <c r="G179" s="532"/>
      <c r="H179" s="292"/>
      <c r="I179" s="475"/>
      <c r="J179" s="475"/>
      <c r="K179" s="517">
        <v>0.11</v>
      </c>
      <c r="L179" s="477">
        <f t="shared" si="107"/>
        <v>0</v>
      </c>
      <c r="M179" s="477">
        <f t="shared" si="108"/>
        <v>0</v>
      </c>
      <c r="N179" s="498">
        <f t="shared" si="109"/>
        <v>0</v>
      </c>
      <c r="O179" s="499">
        <f t="shared" si="92"/>
        <v>0</v>
      </c>
      <c r="P179" s="309"/>
      <c r="Z179" s="168"/>
    </row>
    <row r="180" ht="16.5" customHeight="1" outlineLevel="3" spans="2:26">
      <c r="B180" s="470" t="s">
        <v>1891</v>
      </c>
      <c r="C180" s="473" t="s">
        <v>622</v>
      </c>
      <c r="D180" s="507" t="s">
        <v>1892</v>
      </c>
      <c r="E180" s="479" t="s">
        <v>993</v>
      </c>
      <c r="F180" s="479" t="s">
        <v>601</v>
      </c>
      <c r="G180" s="525">
        <v>1</v>
      </c>
      <c r="H180" s="292" t="s">
        <v>1668</v>
      </c>
      <c r="I180" s="475"/>
      <c r="J180" s="475">
        <v>600</v>
      </c>
      <c r="K180" s="517">
        <v>0.11</v>
      </c>
      <c r="L180" s="477">
        <f t="shared" si="107"/>
        <v>0</v>
      </c>
      <c r="M180" s="477">
        <f t="shared" si="108"/>
        <v>0</v>
      </c>
      <c r="N180" s="498">
        <f t="shared" si="109"/>
        <v>0</v>
      </c>
      <c r="O180" s="499">
        <f t="shared" si="92"/>
        <v>0</v>
      </c>
      <c r="P180" s="309"/>
      <c r="Z180" s="168"/>
    </row>
    <row r="181" ht="16.5" customHeight="1" outlineLevel="3" spans="2:26">
      <c r="B181" s="470" t="s">
        <v>1893</v>
      </c>
      <c r="C181" s="473" t="s">
        <v>622</v>
      </c>
      <c r="D181" s="507" t="s">
        <v>1894</v>
      </c>
      <c r="E181" s="479" t="s">
        <v>1394</v>
      </c>
      <c r="F181" s="479" t="s">
        <v>601</v>
      </c>
      <c r="G181" s="525">
        <v>1</v>
      </c>
      <c r="H181" s="292" t="s">
        <v>1668</v>
      </c>
      <c r="I181" s="475"/>
      <c r="J181" s="475">
        <v>400</v>
      </c>
      <c r="K181" s="517">
        <v>0.11</v>
      </c>
      <c r="L181" s="477">
        <f t="shared" si="107"/>
        <v>0</v>
      </c>
      <c r="M181" s="477">
        <f t="shared" si="108"/>
        <v>0</v>
      </c>
      <c r="N181" s="498">
        <f t="shared" si="109"/>
        <v>0</v>
      </c>
      <c r="O181" s="499">
        <f t="shared" si="92"/>
        <v>0</v>
      </c>
      <c r="P181" s="309"/>
      <c r="Z181" s="168"/>
    </row>
    <row r="182" ht="16.5" customHeight="1" outlineLevel="3" spans="2:26">
      <c r="B182" s="470" t="s">
        <v>1895</v>
      </c>
      <c r="C182" s="473" t="s">
        <v>622</v>
      </c>
      <c r="D182" s="507" t="s">
        <v>1896</v>
      </c>
      <c r="E182" s="290" t="s">
        <v>1392</v>
      </c>
      <c r="F182" s="290"/>
      <c r="G182" s="532"/>
      <c r="H182" s="292"/>
      <c r="I182" s="475"/>
      <c r="J182" s="475"/>
      <c r="K182" s="517">
        <v>0.11</v>
      </c>
      <c r="L182" s="477">
        <f t="shared" si="107"/>
        <v>0</v>
      </c>
      <c r="M182" s="477">
        <f t="shared" si="108"/>
        <v>0</v>
      </c>
      <c r="N182" s="498">
        <f t="shared" si="109"/>
        <v>0</v>
      </c>
      <c r="O182" s="499">
        <f t="shared" si="92"/>
        <v>0</v>
      </c>
      <c r="P182" s="309"/>
      <c r="Z182" s="168"/>
    </row>
    <row r="183" ht="16.5" customHeight="1" outlineLevel="3" spans="1:26">
      <c r="A183" s="456"/>
      <c r="B183" s="470" t="s">
        <v>1897</v>
      </c>
      <c r="C183" s="473" t="s">
        <v>622</v>
      </c>
      <c r="D183" s="507" t="s">
        <v>1898</v>
      </c>
      <c r="E183" s="290"/>
      <c r="F183" s="290"/>
      <c r="G183" s="532"/>
      <c r="H183" s="292"/>
      <c r="I183" s="475"/>
      <c r="J183" s="475"/>
      <c r="K183" s="517">
        <v>0.11</v>
      </c>
      <c r="L183" s="477">
        <f t="shared" si="107"/>
        <v>0</v>
      </c>
      <c r="M183" s="477">
        <f t="shared" si="108"/>
        <v>0</v>
      </c>
      <c r="N183" s="498">
        <f t="shared" si="109"/>
        <v>0</v>
      </c>
      <c r="O183" s="499">
        <f t="shared" si="92"/>
        <v>0</v>
      </c>
      <c r="P183" s="309"/>
      <c r="Z183" s="168"/>
    </row>
    <row r="184" s="457" customFormat="1" ht="16.5" customHeight="1" outlineLevel="2" spans="1:16">
      <c r="A184" s="456"/>
      <c r="B184" s="470" t="s">
        <v>1899</v>
      </c>
      <c r="C184" s="471" t="s">
        <v>657</v>
      </c>
      <c r="D184" s="507" t="s">
        <v>1900</v>
      </c>
      <c r="E184" s="366"/>
      <c r="F184" s="366"/>
      <c r="G184" s="366"/>
      <c r="H184" s="313"/>
      <c r="I184" s="518"/>
      <c r="J184" s="518"/>
      <c r="K184" s="537">
        <v>0.11</v>
      </c>
      <c r="L184" s="477">
        <f t="shared" si="107"/>
        <v>0</v>
      </c>
      <c r="M184" s="477">
        <f t="shared" si="108"/>
        <v>0</v>
      </c>
      <c r="N184" s="498">
        <f t="shared" si="109"/>
        <v>0</v>
      </c>
      <c r="O184" s="499">
        <f t="shared" si="92"/>
        <v>0</v>
      </c>
      <c r="P184" s="309"/>
    </row>
    <row r="185" s="457" customFormat="1" ht="16.5" customHeight="1" outlineLevel="2" spans="1:16">
      <c r="A185" s="456"/>
      <c r="B185" s="470" t="s">
        <v>1901</v>
      </c>
      <c r="C185" s="471" t="s">
        <v>762</v>
      </c>
      <c r="D185" s="507" t="s">
        <v>1902</v>
      </c>
      <c r="E185" s="366"/>
      <c r="F185" s="366"/>
      <c r="G185" s="366"/>
      <c r="H185" s="313"/>
      <c r="I185" s="518"/>
      <c r="J185" s="518"/>
      <c r="K185" s="537">
        <v>0.11</v>
      </c>
      <c r="L185" s="477">
        <f t="shared" si="107"/>
        <v>0</v>
      </c>
      <c r="M185" s="477">
        <f t="shared" si="108"/>
        <v>0</v>
      </c>
      <c r="N185" s="498">
        <f t="shared" si="109"/>
        <v>0</v>
      </c>
      <c r="O185" s="499">
        <f t="shared" si="92"/>
        <v>0</v>
      </c>
      <c r="P185" s="309"/>
    </row>
    <row r="186" ht="16.5" customHeight="1" outlineLevel="1" spans="2:26">
      <c r="B186" s="121" t="s">
        <v>555</v>
      </c>
      <c r="C186" s="121">
        <v>4</v>
      </c>
      <c r="D186" s="121" t="s">
        <v>556</v>
      </c>
      <c r="E186" s="193"/>
      <c r="F186" s="193"/>
      <c r="G186" s="193"/>
      <c r="H186" s="155"/>
      <c r="I186" s="492"/>
      <c r="J186" s="492"/>
      <c r="K186" s="521"/>
      <c r="L186" s="155">
        <f t="shared" ref="L186:N186" si="110">SUM(L187:L197)</f>
        <v>0</v>
      </c>
      <c r="M186" s="155">
        <f t="shared" si="110"/>
        <v>0</v>
      </c>
      <c r="N186" s="155">
        <f t="shared" si="110"/>
        <v>0</v>
      </c>
      <c r="O186" s="495">
        <f t="shared" si="92"/>
        <v>0</v>
      </c>
      <c r="P186" s="233"/>
      <c r="Z186" s="168"/>
    </row>
    <row r="187" ht="16.5" customHeight="1" outlineLevel="2" spans="2:26">
      <c r="B187" s="470" t="s">
        <v>1903</v>
      </c>
      <c r="C187" s="471" t="s">
        <v>619</v>
      </c>
      <c r="D187" s="507" t="s">
        <v>1904</v>
      </c>
      <c r="E187" s="479" t="s">
        <v>1396</v>
      </c>
      <c r="F187" s="479" t="s">
        <v>601</v>
      </c>
      <c r="G187" s="525">
        <v>1</v>
      </c>
      <c r="H187" s="292" t="s">
        <v>1681</v>
      </c>
      <c r="I187" s="475">
        <v>0</v>
      </c>
      <c r="J187" s="475">
        <v>2000</v>
      </c>
      <c r="K187" s="517">
        <v>0.11</v>
      </c>
      <c r="L187" s="477">
        <f t="shared" ref="L187:L197" si="111">G187*I187*J187/10000</f>
        <v>0</v>
      </c>
      <c r="M187" s="477">
        <f t="shared" ref="M187:M197" si="112">L187*K187</f>
        <v>0</v>
      </c>
      <c r="N187" s="498">
        <f t="shared" ref="N187:N197" si="113">L187+M187</f>
        <v>0</v>
      </c>
      <c r="O187" s="499">
        <f t="shared" si="92"/>
        <v>0</v>
      </c>
      <c r="P187" s="309"/>
      <c r="Z187" s="168"/>
    </row>
    <row r="188" ht="16.5" customHeight="1" outlineLevel="2" spans="2:26">
      <c r="B188" s="470" t="s">
        <v>1905</v>
      </c>
      <c r="C188" s="471" t="s">
        <v>657</v>
      </c>
      <c r="D188" s="507" t="s">
        <v>1906</v>
      </c>
      <c r="E188" s="290"/>
      <c r="F188" s="290"/>
      <c r="G188" s="365"/>
      <c r="H188" s="292"/>
      <c r="I188" s="475"/>
      <c r="J188" s="475"/>
      <c r="K188" s="517">
        <v>0.11</v>
      </c>
      <c r="L188" s="477">
        <f t="shared" si="111"/>
        <v>0</v>
      </c>
      <c r="M188" s="477">
        <f t="shared" si="112"/>
        <v>0</v>
      </c>
      <c r="N188" s="498">
        <f t="shared" si="113"/>
        <v>0</v>
      </c>
      <c r="O188" s="499">
        <f t="shared" si="92"/>
        <v>0</v>
      </c>
      <c r="P188" s="309"/>
      <c r="Z188" s="168"/>
    </row>
    <row r="189" ht="16.5" customHeight="1" outlineLevel="2" spans="2:26">
      <c r="B189" s="470" t="s">
        <v>1907</v>
      </c>
      <c r="C189" s="471" t="s">
        <v>762</v>
      </c>
      <c r="D189" s="507" t="s">
        <v>1908</v>
      </c>
      <c r="E189" s="290"/>
      <c r="F189" s="290"/>
      <c r="G189" s="292"/>
      <c r="H189" s="292"/>
      <c r="I189" s="475"/>
      <c r="J189" s="475"/>
      <c r="K189" s="517">
        <v>0.11</v>
      </c>
      <c r="L189" s="477">
        <f t="shared" si="111"/>
        <v>0</v>
      </c>
      <c r="M189" s="477">
        <f t="shared" si="112"/>
        <v>0</v>
      </c>
      <c r="N189" s="498">
        <f t="shared" si="113"/>
        <v>0</v>
      </c>
      <c r="O189" s="499">
        <f t="shared" si="92"/>
        <v>0</v>
      </c>
      <c r="P189" s="309"/>
      <c r="Z189" s="168"/>
    </row>
    <row r="190" ht="16.5" customHeight="1" outlineLevel="2" spans="2:26">
      <c r="B190" s="470" t="s">
        <v>1909</v>
      </c>
      <c r="C190" s="471" t="s">
        <v>778</v>
      </c>
      <c r="D190" s="507" t="s">
        <v>1910</v>
      </c>
      <c r="E190" s="290"/>
      <c r="F190" s="290"/>
      <c r="G190" s="292"/>
      <c r="H190" s="292"/>
      <c r="I190" s="475"/>
      <c r="J190" s="475"/>
      <c r="K190" s="517">
        <v>0.11</v>
      </c>
      <c r="L190" s="477">
        <f t="shared" si="111"/>
        <v>0</v>
      </c>
      <c r="M190" s="477">
        <f t="shared" si="112"/>
        <v>0</v>
      </c>
      <c r="N190" s="498">
        <f t="shared" si="113"/>
        <v>0</v>
      </c>
      <c r="O190" s="499">
        <f t="shared" si="92"/>
        <v>0</v>
      </c>
      <c r="P190" s="309"/>
      <c r="Z190" s="168"/>
    </row>
    <row r="191" ht="16.5" customHeight="1" outlineLevel="2" spans="2:26">
      <c r="B191" s="470" t="s">
        <v>1911</v>
      </c>
      <c r="C191" s="471" t="s">
        <v>781</v>
      </c>
      <c r="D191" s="507" t="s">
        <v>1912</v>
      </c>
      <c r="E191" s="290" t="s">
        <v>1395</v>
      </c>
      <c r="F191" s="290"/>
      <c r="G191" s="292"/>
      <c r="H191" s="292"/>
      <c r="I191" s="475"/>
      <c r="J191" s="475"/>
      <c r="K191" s="517">
        <v>0.11</v>
      </c>
      <c r="L191" s="477">
        <f t="shared" si="111"/>
        <v>0</v>
      </c>
      <c r="M191" s="477">
        <f t="shared" si="112"/>
        <v>0</v>
      </c>
      <c r="N191" s="498">
        <f t="shared" si="113"/>
        <v>0</v>
      </c>
      <c r="O191" s="499">
        <f t="shared" si="92"/>
        <v>0</v>
      </c>
      <c r="P191" s="309"/>
      <c r="Z191" s="168"/>
    </row>
    <row r="192" ht="16.5" customHeight="1" outlineLevel="2" spans="2:26">
      <c r="B192" s="470" t="s">
        <v>1913</v>
      </c>
      <c r="C192" s="471" t="s">
        <v>788</v>
      </c>
      <c r="D192" s="507" t="s">
        <v>1914</v>
      </c>
      <c r="E192" s="290" t="s">
        <v>1395</v>
      </c>
      <c r="F192" s="290"/>
      <c r="G192" s="292"/>
      <c r="H192" s="292"/>
      <c r="I192" s="475"/>
      <c r="J192" s="475"/>
      <c r="K192" s="517">
        <v>0.11</v>
      </c>
      <c r="L192" s="477">
        <f t="shared" si="111"/>
        <v>0</v>
      </c>
      <c r="M192" s="477">
        <f t="shared" si="112"/>
        <v>0</v>
      </c>
      <c r="N192" s="498">
        <f t="shared" si="113"/>
        <v>0</v>
      </c>
      <c r="O192" s="499">
        <f t="shared" si="92"/>
        <v>0</v>
      </c>
      <c r="P192" s="309"/>
      <c r="Z192" s="168"/>
    </row>
    <row r="193" ht="16.5" customHeight="1" outlineLevel="2" spans="2:26">
      <c r="B193" s="470" t="s">
        <v>1915</v>
      </c>
      <c r="C193" s="471" t="s">
        <v>791</v>
      </c>
      <c r="D193" s="507" t="s">
        <v>1916</v>
      </c>
      <c r="E193" s="290" t="s">
        <v>1395</v>
      </c>
      <c r="F193" s="290"/>
      <c r="G193" s="292"/>
      <c r="H193" s="292"/>
      <c r="I193" s="475"/>
      <c r="J193" s="475"/>
      <c r="K193" s="517">
        <v>0.11</v>
      </c>
      <c r="L193" s="477">
        <f t="shared" si="111"/>
        <v>0</v>
      </c>
      <c r="M193" s="477">
        <f t="shared" si="112"/>
        <v>0</v>
      </c>
      <c r="N193" s="498">
        <f t="shared" si="113"/>
        <v>0</v>
      </c>
      <c r="O193" s="499">
        <f t="shared" si="92"/>
        <v>0</v>
      </c>
      <c r="P193" s="309"/>
      <c r="Z193" s="168"/>
    </row>
    <row r="194" ht="16.5" customHeight="1" outlineLevel="2" spans="2:26">
      <c r="B194" s="470" t="s">
        <v>1917</v>
      </c>
      <c r="C194" s="471" t="s">
        <v>794</v>
      </c>
      <c r="D194" s="507" t="s">
        <v>1700</v>
      </c>
      <c r="E194" s="290" t="s">
        <v>1395</v>
      </c>
      <c r="F194" s="290"/>
      <c r="G194" s="292"/>
      <c r="H194" s="292"/>
      <c r="I194" s="475"/>
      <c r="J194" s="475"/>
      <c r="K194" s="517">
        <v>0.11</v>
      </c>
      <c r="L194" s="477">
        <f t="shared" si="111"/>
        <v>0</v>
      </c>
      <c r="M194" s="477">
        <f t="shared" si="112"/>
        <v>0</v>
      </c>
      <c r="N194" s="498">
        <f t="shared" si="113"/>
        <v>0</v>
      </c>
      <c r="O194" s="499">
        <f t="shared" si="92"/>
        <v>0</v>
      </c>
      <c r="P194" s="309"/>
      <c r="Z194" s="168"/>
    </row>
    <row r="195" ht="16.5" customHeight="1" outlineLevel="2" spans="2:26">
      <c r="B195" s="470" t="s">
        <v>1918</v>
      </c>
      <c r="C195" s="471" t="s">
        <v>797</v>
      </c>
      <c r="D195" s="507" t="s">
        <v>1919</v>
      </c>
      <c r="E195" s="290" t="s">
        <v>1395</v>
      </c>
      <c r="F195" s="290"/>
      <c r="G195" s="292"/>
      <c r="H195" s="292"/>
      <c r="I195" s="475"/>
      <c r="J195" s="475"/>
      <c r="K195" s="517">
        <v>0.11</v>
      </c>
      <c r="L195" s="477">
        <f t="shared" si="111"/>
        <v>0</v>
      </c>
      <c r="M195" s="477">
        <f t="shared" si="112"/>
        <v>0</v>
      </c>
      <c r="N195" s="498">
        <f t="shared" si="113"/>
        <v>0</v>
      </c>
      <c r="O195" s="499">
        <f t="shared" si="92"/>
        <v>0</v>
      </c>
      <c r="P195" s="309"/>
      <c r="Z195" s="168"/>
    </row>
    <row r="196" ht="16.5" customHeight="1" outlineLevel="2" spans="2:26">
      <c r="B196" s="470" t="s">
        <v>1920</v>
      </c>
      <c r="C196" s="471" t="s">
        <v>1519</v>
      </c>
      <c r="D196" s="507" t="s">
        <v>1921</v>
      </c>
      <c r="E196" s="290" t="s">
        <v>1395</v>
      </c>
      <c r="F196" s="290"/>
      <c r="G196" s="292"/>
      <c r="H196" s="292"/>
      <c r="I196" s="475"/>
      <c r="J196" s="475"/>
      <c r="K196" s="517">
        <v>0.11</v>
      </c>
      <c r="L196" s="477">
        <f t="shared" si="111"/>
        <v>0</v>
      </c>
      <c r="M196" s="477">
        <f t="shared" si="112"/>
        <v>0</v>
      </c>
      <c r="N196" s="498">
        <f t="shared" si="113"/>
        <v>0</v>
      </c>
      <c r="O196" s="499">
        <f t="shared" si="92"/>
        <v>0</v>
      </c>
      <c r="P196" s="309"/>
      <c r="Z196" s="168"/>
    </row>
    <row r="197" ht="16.5" customHeight="1" outlineLevel="2" spans="2:26">
      <c r="B197" s="470" t="s">
        <v>1922</v>
      </c>
      <c r="C197" s="471" t="s">
        <v>1520</v>
      </c>
      <c r="D197" s="507" t="s">
        <v>1923</v>
      </c>
      <c r="E197" s="290"/>
      <c r="F197" s="290"/>
      <c r="G197" s="292"/>
      <c r="H197" s="292"/>
      <c r="I197" s="475"/>
      <c r="J197" s="475"/>
      <c r="K197" s="517">
        <v>0.11</v>
      </c>
      <c r="L197" s="477">
        <f t="shared" si="111"/>
        <v>0</v>
      </c>
      <c r="M197" s="477">
        <f t="shared" si="112"/>
        <v>0</v>
      </c>
      <c r="N197" s="498">
        <f t="shared" si="113"/>
        <v>0</v>
      </c>
      <c r="O197" s="499">
        <f t="shared" si="92"/>
        <v>0</v>
      </c>
      <c r="P197" s="309"/>
      <c r="Z197" s="168"/>
    </row>
    <row r="198" ht="15.75" collapsed="1" spans="3:26">
      <c r="C198" s="168"/>
      <c r="G198" s="168"/>
      <c r="H198" s="168"/>
      <c r="I198" s="168"/>
      <c r="J198" s="168"/>
      <c r="K198" s="168"/>
      <c r="M198" s="166" t="s">
        <v>2</v>
      </c>
      <c r="N198" s="459">
        <f>N4+N88+N114</f>
        <v>907.763121406099</v>
      </c>
      <c r="Z198" s="168"/>
    </row>
    <row r="199" ht="15.75" spans="3:26">
      <c r="C199" s="168"/>
      <c r="G199" s="168"/>
      <c r="H199" s="168"/>
      <c r="I199" s="168"/>
      <c r="J199" s="168"/>
      <c r="K199" s="168"/>
      <c r="L199" s="538"/>
      <c r="M199" s="538" t="s">
        <v>1992</v>
      </c>
      <c r="N199" s="539">
        <f>(M4+M88+M114)/(L4+L88+L114)</f>
        <v>0.116901855268268</v>
      </c>
      <c r="Y199" s="540">
        <f>SUM(Y88:Y198)</f>
        <v>0</v>
      </c>
      <c r="Z199" s="168"/>
    </row>
  </sheetData>
  <autoFilter ref="A3:Z199"/>
  <conditionalFormatting sqref="B4:C4">
    <cfRule type="duplicateValues" dxfId="736" priority="111"/>
  </conditionalFormatting>
  <conditionalFormatting sqref="B5:C5">
    <cfRule type="duplicateValues" dxfId="737" priority="110"/>
  </conditionalFormatting>
  <conditionalFormatting sqref="D6">
    <cfRule type="duplicateValues" dxfId="738" priority="115"/>
  </conditionalFormatting>
  <conditionalFormatting sqref="I6">
    <cfRule type="cellIs" dxfId="739" priority="62" operator="equal">
      <formula>0</formula>
    </cfRule>
    <cfRule type="cellIs" priority="61" operator="equal">
      <formula>0</formula>
    </cfRule>
  </conditionalFormatting>
  <conditionalFormatting sqref="I10">
    <cfRule type="cellIs" dxfId="740" priority="60" operator="equal">
      <formula>0</formula>
    </cfRule>
    <cfRule type="cellIs" priority="59" operator="equal">
      <formula>0</formula>
    </cfRule>
  </conditionalFormatting>
  <conditionalFormatting sqref="D21">
    <cfRule type="duplicateValues" dxfId="741" priority="47"/>
  </conditionalFormatting>
  <conditionalFormatting sqref="I21">
    <cfRule type="cellIs" dxfId="742" priority="44" operator="equal">
      <formula>0</formula>
    </cfRule>
    <cfRule type="cellIs" priority="43" operator="equal">
      <formula>0</formula>
    </cfRule>
  </conditionalFormatting>
  <conditionalFormatting sqref="K21">
    <cfRule type="cellIs" dxfId="743" priority="46" operator="equal">
      <formula>0</formula>
    </cfRule>
    <cfRule type="cellIs" priority="45" operator="equal">
      <formula>0</formula>
    </cfRule>
  </conditionalFormatting>
  <conditionalFormatting sqref="D22">
    <cfRule type="duplicateValues" dxfId="744" priority="52"/>
  </conditionalFormatting>
  <conditionalFormatting sqref="I22">
    <cfRule type="cellIs" dxfId="745" priority="49" operator="equal">
      <formula>0</formula>
    </cfRule>
    <cfRule type="cellIs" priority="48" operator="equal">
      <formula>0</formula>
    </cfRule>
  </conditionalFormatting>
  <conditionalFormatting sqref="K22">
    <cfRule type="cellIs" dxfId="746" priority="51" operator="equal">
      <formula>0</formula>
    </cfRule>
    <cfRule type="cellIs" priority="50" operator="equal">
      <formula>0</formula>
    </cfRule>
  </conditionalFormatting>
  <conditionalFormatting sqref="I43">
    <cfRule type="cellIs" dxfId="747" priority="108" operator="equal">
      <formula>0</formula>
    </cfRule>
    <cfRule type="cellIs" priority="107" operator="equal">
      <formula>0</formula>
    </cfRule>
  </conditionalFormatting>
  <conditionalFormatting sqref="I49">
    <cfRule type="cellIs" dxfId="748" priority="106" operator="equal">
      <formula>0</formula>
    </cfRule>
    <cfRule type="cellIs" priority="105" operator="equal">
      <formula>0</formula>
    </cfRule>
  </conditionalFormatting>
  <conditionalFormatting sqref="I50">
    <cfRule type="cellIs" dxfId="749" priority="80" operator="equal">
      <formula>0</formula>
    </cfRule>
    <cfRule type="cellIs" priority="79" operator="equal">
      <formula>0</formula>
    </cfRule>
  </conditionalFormatting>
  <conditionalFormatting sqref="I51">
    <cfRule type="cellIs" dxfId="750" priority="104" operator="equal">
      <formula>0</formula>
    </cfRule>
    <cfRule type="cellIs" priority="103" operator="equal">
      <formula>0</formula>
    </cfRule>
  </conditionalFormatting>
  <conditionalFormatting sqref="I53">
    <cfRule type="cellIs" dxfId="751" priority="100" operator="equal">
      <formula>0</formula>
    </cfRule>
    <cfRule type="cellIs" priority="99" operator="equal">
      <formula>0</formula>
    </cfRule>
  </conditionalFormatting>
  <conditionalFormatting sqref="I54">
    <cfRule type="cellIs" dxfId="752" priority="102" operator="equal">
      <formula>0</formula>
    </cfRule>
    <cfRule type="cellIs" priority="101" operator="equal">
      <formula>0</formula>
    </cfRule>
  </conditionalFormatting>
  <conditionalFormatting sqref="I56">
    <cfRule type="cellIs" dxfId="753" priority="78" operator="equal">
      <formula>0</formula>
    </cfRule>
    <cfRule type="cellIs" priority="77" operator="equal">
      <formula>0</formula>
    </cfRule>
  </conditionalFormatting>
  <conditionalFormatting sqref="I59">
    <cfRule type="cellIs" dxfId="754" priority="98" operator="equal">
      <formula>0</formula>
    </cfRule>
    <cfRule type="cellIs" priority="97" operator="equal">
      <formula>0</formula>
    </cfRule>
  </conditionalFormatting>
  <conditionalFormatting sqref="I60">
    <cfRule type="cellIs" dxfId="755" priority="76" operator="equal">
      <formula>0</formula>
    </cfRule>
    <cfRule type="cellIs" priority="75" operator="equal">
      <formula>0</formula>
    </cfRule>
  </conditionalFormatting>
  <conditionalFormatting sqref="I61">
    <cfRule type="cellIs" dxfId="756" priority="74" operator="equal">
      <formula>0</formula>
    </cfRule>
    <cfRule type="cellIs" priority="73" operator="equal">
      <formula>0</formula>
    </cfRule>
  </conditionalFormatting>
  <conditionalFormatting sqref="B62:C62">
    <cfRule type="duplicateValues" dxfId="757" priority="109"/>
  </conditionalFormatting>
  <conditionalFormatting sqref="I64">
    <cfRule type="cellIs" dxfId="758" priority="72" operator="equal">
      <formula>0</formula>
    </cfRule>
    <cfRule type="cellIs" priority="71" operator="equal">
      <formula>0</formula>
    </cfRule>
  </conditionalFormatting>
  <conditionalFormatting sqref="I72">
    <cfRule type="cellIs" dxfId="759" priority="70" operator="equal">
      <formula>0</formula>
    </cfRule>
    <cfRule type="cellIs" priority="69" operator="equal">
      <formula>0</formula>
    </cfRule>
  </conditionalFormatting>
  <conditionalFormatting sqref="I77">
    <cfRule type="cellIs" dxfId="760" priority="68" operator="equal">
      <formula>0</formula>
    </cfRule>
    <cfRule type="cellIs" priority="67" operator="equal">
      <formula>0</formula>
    </cfRule>
  </conditionalFormatting>
  <conditionalFormatting sqref="I82">
    <cfRule type="cellIs" dxfId="761" priority="96" operator="equal">
      <formula>0</formula>
    </cfRule>
    <cfRule type="cellIs" priority="95" operator="equal">
      <formula>0</formula>
    </cfRule>
  </conditionalFormatting>
  <conditionalFormatting sqref="I83">
    <cfRule type="cellIs" dxfId="762" priority="66" operator="equal">
      <formula>0</formula>
    </cfRule>
    <cfRule type="cellIs" priority="65" operator="equal">
      <formula>0</formula>
    </cfRule>
  </conditionalFormatting>
  <conditionalFormatting sqref="I84">
    <cfRule type="cellIs" dxfId="763" priority="64" operator="equal">
      <formula>0</formula>
    </cfRule>
    <cfRule type="cellIs" priority="63" operator="equal">
      <formula>0</formula>
    </cfRule>
  </conditionalFormatting>
  <conditionalFormatting sqref="B88:C88">
    <cfRule type="duplicateValues" dxfId="764" priority="211"/>
  </conditionalFormatting>
  <conditionalFormatting sqref="B89:C89">
    <cfRule type="duplicateValues" dxfId="765" priority="210"/>
  </conditionalFormatting>
  <conditionalFormatting sqref="J90">
    <cfRule type="cellIs" dxfId="766" priority="32" operator="equal">
      <formula>0</formula>
    </cfRule>
    <cfRule type="cellIs" priority="31" operator="equal">
      <formula>0</formula>
    </cfRule>
  </conditionalFormatting>
  <conditionalFormatting sqref="M90">
    <cfRule type="cellIs" dxfId="767" priority="200" operator="equal">
      <formula>0</formula>
    </cfRule>
    <cfRule type="cellIs" priority="199" operator="equal">
      <formula>0</formula>
    </cfRule>
  </conditionalFormatting>
  <conditionalFormatting sqref="J91">
    <cfRule type="cellIs" dxfId="768" priority="30" operator="equal">
      <formula>0</formula>
    </cfRule>
    <cfRule type="cellIs" priority="29" operator="equal">
      <formula>0</formula>
    </cfRule>
  </conditionalFormatting>
  <conditionalFormatting sqref="J92">
    <cfRule type="cellIs" dxfId="769" priority="28" operator="equal">
      <formula>0</formula>
    </cfRule>
    <cfRule type="cellIs" priority="27" operator="equal">
      <formula>0</formula>
    </cfRule>
  </conditionalFormatting>
  <conditionalFormatting sqref="J93">
    <cfRule type="cellIs" dxfId="770" priority="26" operator="equal">
      <formula>0</formula>
    </cfRule>
    <cfRule type="cellIs" priority="25" operator="equal">
      <formula>0</formula>
    </cfRule>
  </conditionalFormatting>
  <conditionalFormatting sqref="J94">
    <cfRule type="cellIs" dxfId="771" priority="24" operator="equal">
      <formula>0</formula>
    </cfRule>
    <cfRule type="cellIs" priority="23" operator="equal">
      <formula>0</formula>
    </cfRule>
  </conditionalFormatting>
  <conditionalFormatting sqref="J96">
    <cfRule type="cellIs" dxfId="772" priority="22" operator="equal">
      <formula>0</formula>
    </cfRule>
    <cfRule type="cellIs" priority="21" operator="equal">
      <formula>0</formula>
    </cfRule>
  </conditionalFormatting>
  <conditionalFormatting sqref="J97">
    <cfRule type="cellIs" dxfId="773" priority="20" operator="equal">
      <formula>0</formula>
    </cfRule>
    <cfRule type="cellIs" priority="19" operator="equal">
      <formula>0</formula>
    </cfRule>
  </conditionalFormatting>
  <conditionalFormatting sqref="J98">
    <cfRule type="cellIs" dxfId="774" priority="8" operator="equal">
      <formula>0</formula>
    </cfRule>
    <cfRule type="cellIs" priority="7" operator="equal">
      <formula>0</formula>
    </cfRule>
  </conditionalFormatting>
  <conditionalFormatting sqref="J99">
    <cfRule type="cellIs" dxfId="775" priority="14" operator="equal">
      <formula>0</formula>
    </cfRule>
    <cfRule type="cellIs" priority="13" operator="equal">
      <formula>0</formula>
    </cfRule>
  </conditionalFormatting>
  <conditionalFormatting sqref="J100">
    <cfRule type="cellIs" dxfId="776" priority="18" operator="equal">
      <formula>0</formula>
    </cfRule>
    <cfRule type="cellIs" priority="17" operator="equal">
      <formula>0</formula>
    </cfRule>
  </conditionalFormatting>
  <conditionalFormatting sqref="J101">
    <cfRule type="cellIs" dxfId="777" priority="12" operator="equal">
      <formula>0</formula>
    </cfRule>
    <cfRule type="cellIs" priority="11" operator="equal">
      <formula>0</formula>
    </cfRule>
  </conditionalFormatting>
  <conditionalFormatting sqref="J102">
    <cfRule type="cellIs" dxfId="778" priority="16" operator="equal">
      <formula>0</formula>
    </cfRule>
    <cfRule type="cellIs" priority="15" operator="equal">
      <formula>0</formula>
    </cfRule>
  </conditionalFormatting>
  <conditionalFormatting sqref="J103">
    <cfRule type="cellIs" dxfId="779" priority="10" operator="equal">
      <formula>0</formula>
    </cfRule>
    <cfRule type="cellIs" priority="9" operator="equal">
      <formula>0</formula>
    </cfRule>
  </conditionalFormatting>
  <conditionalFormatting sqref="E104">
    <cfRule type="duplicateValues" dxfId="780" priority="136"/>
  </conditionalFormatting>
  <conditionalFormatting sqref="E105">
    <cfRule type="duplicateValues" dxfId="781" priority="135"/>
  </conditionalFormatting>
  <conditionalFormatting sqref="B106:C106">
    <cfRule type="duplicateValues" dxfId="782" priority="209"/>
  </conditionalFormatting>
  <conditionalFormatting sqref="E111">
    <cfRule type="duplicateValues" dxfId="783" priority="124"/>
  </conditionalFormatting>
  <conditionalFormatting sqref="I111">
    <cfRule type="cellIs" dxfId="784" priority="2" operator="equal">
      <formula>0</formula>
    </cfRule>
    <cfRule type="cellIs" priority="1" operator="equal">
      <formula>0</formula>
    </cfRule>
  </conditionalFormatting>
  <conditionalFormatting sqref="J111">
    <cfRule type="cellIs" dxfId="785" priority="4" operator="equal">
      <formula>0</formula>
    </cfRule>
    <cfRule type="cellIs" priority="3" operator="equal">
      <formula>0</formula>
    </cfRule>
  </conditionalFormatting>
  <conditionalFormatting sqref="E112">
    <cfRule type="duplicateValues" dxfId="786" priority="125"/>
  </conditionalFormatting>
  <conditionalFormatting sqref="K113">
    <cfRule type="cellIs" dxfId="787" priority="119" operator="equal">
      <formula>0</formula>
    </cfRule>
    <cfRule type="cellIs" priority="118" operator="equal">
      <formula>0</formula>
    </cfRule>
  </conditionalFormatting>
  <conditionalFormatting sqref="B114:C114">
    <cfRule type="duplicateValues" dxfId="788" priority="207"/>
  </conditionalFormatting>
  <conditionalFormatting sqref="B115:C115">
    <cfRule type="duplicateValues" dxfId="789" priority="206"/>
  </conditionalFormatting>
  <conditionalFormatting sqref="I132">
    <cfRule type="cellIs" dxfId="790" priority="198" operator="equal">
      <formula>0</formula>
    </cfRule>
    <cfRule type="cellIs" priority="197" operator="equal">
      <formula>0</formula>
    </cfRule>
  </conditionalFormatting>
  <conditionalFormatting sqref="I134">
    <cfRule type="cellIs" dxfId="791" priority="196" operator="equal">
      <formula>0</formula>
    </cfRule>
    <cfRule type="cellIs" priority="195" operator="equal">
      <formula>0</formula>
    </cfRule>
  </conditionalFormatting>
  <conditionalFormatting sqref="I135">
    <cfRule type="cellIs" dxfId="792" priority="194" operator="equal">
      <formula>0</formula>
    </cfRule>
    <cfRule type="cellIs" priority="193" operator="equal">
      <formula>0</formula>
    </cfRule>
  </conditionalFormatting>
  <conditionalFormatting sqref="I136">
    <cfRule type="cellIs" dxfId="793" priority="192" operator="equal">
      <formula>0</formula>
    </cfRule>
    <cfRule type="cellIs" priority="191" operator="equal">
      <formula>0</formula>
    </cfRule>
  </conditionalFormatting>
  <conditionalFormatting sqref="I140">
    <cfRule type="cellIs" dxfId="794" priority="186" operator="equal">
      <formula>0</formula>
    </cfRule>
    <cfRule type="cellIs" priority="185" operator="equal">
      <formula>0</formula>
    </cfRule>
  </conditionalFormatting>
  <conditionalFormatting sqref="I141">
    <cfRule type="cellIs" dxfId="795" priority="168" operator="equal">
      <formula>0</formula>
    </cfRule>
    <cfRule type="cellIs" priority="167" operator="equal">
      <formula>0</formula>
    </cfRule>
  </conditionalFormatting>
  <conditionalFormatting sqref="I145">
    <cfRule type="cellIs" dxfId="796" priority="166" operator="equal">
      <formula>0</formula>
    </cfRule>
    <cfRule type="cellIs" priority="165" operator="equal">
      <formula>0</formula>
    </cfRule>
  </conditionalFormatting>
  <conditionalFormatting sqref="I147">
    <cfRule type="cellIs" dxfId="797" priority="164" operator="equal">
      <formula>0</formula>
    </cfRule>
    <cfRule type="cellIs" priority="163" operator="equal">
      <formula>0</formula>
    </cfRule>
  </conditionalFormatting>
  <conditionalFormatting sqref="B148:C148">
    <cfRule type="duplicateValues" dxfId="798" priority="205"/>
  </conditionalFormatting>
  <conditionalFormatting sqref="D154">
    <cfRule type="duplicateValues" dxfId="799" priority="37"/>
  </conditionalFormatting>
  <conditionalFormatting sqref="I154:K154">
    <cfRule type="cellIs" dxfId="800" priority="36" operator="equal">
      <formula>0</formula>
    </cfRule>
    <cfRule type="cellIs" priority="35" operator="equal">
      <formula>0</formula>
    </cfRule>
  </conditionalFormatting>
  <conditionalFormatting sqref="I163">
    <cfRule type="cellIs" dxfId="801" priority="182" operator="equal">
      <formula>0</formula>
    </cfRule>
    <cfRule type="cellIs" priority="181" operator="equal">
      <formula>0</formula>
    </cfRule>
  </conditionalFormatting>
  <conditionalFormatting sqref="I164">
    <cfRule type="cellIs" dxfId="802" priority="162" operator="equal">
      <formula>0</formula>
    </cfRule>
    <cfRule type="cellIs" priority="161" operator="equal">
      <formula>0</formula>
    </cfRule>
  </conditionalFormatting>
  <conditionalFormatting sqref="B174:C174">
    <cfRule type="duplicateValues" dxfId="803" priority="204"/>
  </conditionalFormatting>
  <conditionalFormatting sqref="I176">
    <cfRule type="cellIs" dxfId="804" priority="203" operator="equal">
      <formula>0</formula>
    </cfRule>
    <cfRule type="cellIs" priority="202" operator="equal">
      <formula>0</formula>
    </cfRule>
  </conditionalFormatting>
  <conditionalFormatting sqref="I177">
    <cfRule type="cellIs" dxfId="805" priority="178" operator="equal">
      <formula>0</formula>
    </cfRule>
    <cfRule type="cellIs" priority="177" operator="equal">
      <formula>0</formula>
    </cfRule>
  </conditionalFormatting>
  <conditionalFormatting sqref="I178">
    <cfRule type="cellIs" dxfId="806" priority="180" operator="equal">
      <formula>0</formula>
    </cfRule>
    <cfRule type="cellIs" priority="179" operator="equal">
      <formula>0</formula>
    </cfRule>
  </conditionalFormatting>
  <conditionalFormatting sqref="B186:C186">
    <cfRule type="duplicateValues" dxfId="807" priority="201"/>
  </conditionalFormatting>
  <conditionalFormatting sqref="I187">
    <cfRule type="cellIs" dxfId="808" priority="157" operator="equal">
      <formula>0</formula>
    </cfRule>
    <cfRule type="cellIs" priority="156" operator="equal">
      <formula>0</formula>
    </cfRule>
  </conditionalFormatting>
  <conditionalFormatting sqref="D191">
    <cfRule type="duplicateValues" dxfId="809" priority="149"/>
  </conditionalFormatting>
  <conditionalFormatting sqref="I191">
    <cfRule type="cellIs" dxfId="810" priority="148" operator="equal">
      <formula>0</formula>
    </cfRule>
    <cfRule type="cellIs" priority="147" operator="equal">
      <formula>0</formula>
    </cfRule>
  </conditionalFormatting>
  <conditionalFormatting sqref="D192">
    <cfRule type="duplicateValues" dxfId="811" priority="140"/>
  </conditionalFormatting>
  <conditionalFormatting sqref="I192">
    <cfRule type="cellIs" dxfId="812" priority="139" operator="equal">
      <formula>0</formula>
    </cfRule>
    <cfRule type="cellIs" priority="138" operator="equal">
      <formula>0</formula>
    </cfRule>
  </conditionalFormatting>
  <conditionalFormatting sqref="D193">
    <cfRule type="duplicateValues" dxfId="813" priority="143"/>
  </conditionalFormatting>
  <conditionalFormatting sqref="I193">
    <cfRule type="cellIs" dxfId="814" priority="142" operator="equal">
      <formula>0</formula>
    </cfRule>
    <cfRule type="cellIs" priority="141" operator="equal">
      <formula>0</formula>
    </cfRule>
  </conditionalFormatting>
  <conditionalFormatting sqref="D194">
    <cfRule type="duplicateValues" dxfId="815" priority="146"/>
  </conditionalFormatting>
  <conditionalFormatting sqref="I194">
    <cfRule type="cellIs" dxfId="816" priority="145" operator="equal">
      <formula>0</formula>
    </cfRule>
    <cfRule type="cellIs" priority="144" operator="equal">
      <formula>0</formula>
    </cfRule>
  </conditionalFormatting>
  <conditionalFormatting sqref="D195">
    <cfRule type="duplicateValues" dxfId="817" priority="152"/>
  </conditionalFormatting>
  <conditionalFormatting sqref="I195">
    <cfRule type="cellIs" dxfId="818" priority="151" operator="equal">
      <formula>0</formula>
    </cfRule>
    <cfRule type="cellIs" priority="150" operator="equal">
      <formula>0</formula>
    </cfRule>
  </conditionalFormatting>
  <conditionalFormatting sqref="D196">
    <cfRule type="duplicateValues" dxfId="819" priority="155"/>
  </conditionalFormatting>
  <conditionalFormatting sqref="I196">
    <cfRule type="cellIs" dxfId="820" priority="154" operator="equal">
      <formula>0</formula>
    </cfRule>
    <cfRule type="cellIs" priority="153" operator="equal">
      <formula>0</formula>
    </cfRule>
  </conditionalFormatting>
  <conditionalFormatting sqref="B111:B112">
    <cfRule type="duplicateValues" dxfId="821" priority="127"/>
  </conditionalFormatting>
  <conditionalFormatting sqref="D7:D8">
    <cfRule type="duplicateValues" dxfId="822" priority="42"/>
  </conditionalFormatting>
  <conditionalFormatting sqref="D90:D105">
    <cfRule type="duplicateValues" dxfId="823" priority="137"/>
  </conditionalFormatting>
  <conditionalFormatting sqref="D107:D109">
    <cfRule type="duplicateValues" dxfId="824" priority="132"/>
  </conditionalFormatting>
  <conditionalFormatting sqref="D111:D112">
    <cfRule type="duplicateValues" dxfId="825" priority="126"/>
  </conditionalFormatting>
  <conditionalFormatting sqref="I7:I8">
    <cfRule type="cellIs" dxfId="826" priority="39" operator="equal">
      <formula>0</formula>
    </cfRule>
    <cfRule type="cellIs" priority="38" operator="equal">
      <formula>0</formula>
    </cfRule>
  </conditionalFormatting>
  <conditionalFormatting sqref="I11:I12">
    <cfRule type="cellIs" dxfId="827" priority="56" operator="equal">
      <formula>0</formula>
    </cfRule>
    <cfRule type="cellIs" priority="55" operator="equal">
      <formula>0</formula>
    </cfRule>
  </conditionalFormatting>
  <conditionalFormatting sqref="I24:I27">
    <cfRule type="cellIs" dxfId="828" priority="92" operator="equal">
      <formula>0</formula>
    </cfRule>
    <cfRule type="cellIs" priority="91" operator="equal">
      <formula>0</formula>
    </cfRule>
  </conditionalFormatting>
  <conditionalFormatting sqref="I28:I29">
    <cfRule type="cellIs" dxfId="829" priority="90" operator="equal">
      <formula>0</formula>
    </cfRule>
    <cfRule type="cellIs" priority="89" operator="equal">
      <formula>0</formula>
    </cfRule>
  </conditionalFormatting>
  <conditionalFormatting sqref="I31:I32">
    <cfRule type="cellIs" dxfId="830" priority="88" operator="equal">
      <formula>0</formula>
    </cfRule>
    <cfRule type="cellIs" priority="87" operator="equal">
      <formula>0</formula>
    </cfRule>
  </conditionalFormatting>
  <conditionalFormatting sqref="I34:I38">
    <cfRule type="cellIs" dxfId="831" priority="86" operator="equal">
      <formula>0</formula>
    </cfRule>
    <cfRule type="cellIs" priority="85" operator="equal">
      <formula>0</formula>
    </cfRule>
  </conditionalFormatting>
  <conditionalFormatting sqref="I40:I42">
    <cfRule type="cellIs" dxfId="832" priority="84" operator="equal">
      <formula>0</formula>
    </cfRule>
    <cfRule type="cellIs" priority="83" operator="equal">
      <formula>0</formula>
    </cfRule>
  </conditionalFormatting>
  <conditionalFormatting sqref="I44:I48">
    <cfRule type="cellIs" dxfId="833" priority="82" operator="equal">
      <formula>0</formula>
    </cfRule>
    <cfRule type="cellIs" priority="81" operator="equal">
      <formula>0</formula>
    </cfRule>
  </conditionalFormatting>
  <conditionalFormatting sqref="I90:I105">
    <cfRule type="cellIs" dxfId="834" priority="174" operator="equal">
      <formula>0</formula>
    </cfRule>
    <cfRule type="cellIs" priority="173" operator="equal">
      <formula>0</formula>
    </cfRule>
  </conditionalFormatting>
  <conditionalFormatting sqref="I107:I109">
    <cfRule type="cellIs" dxfId="835" priority="117" operator="equal">
      <formula>0</formula>
    </cfRule>
    <cfRule type="cellIs" priority="116" operator="equal">
      <formula>0</formula>
    </cfRule>
  </conditionalFormatting>
  <conditionalFormatting sqref="I118:I119">
    <cfRule type="cellIs" dxfId="836" priority="172" operator="equal">
      <formula>0</formula>
    </cfRule>
    <cfRule type="cellIs" priority="171" operator="equal">
      <formula>0</formula>
    </cfRule>
  </conditionalFormatting>
  <conditionalFormatting sqref="I121:I122">
    <cfRule type="cellIs" dxfId="837" priority="170" operator="equal">
      <formula>0</formula>
    </cfRule>
    <cfRule type="cellIs" priority="169" operator="equal">
      <formula>0</formula>
    </cfRule>
  </conditionalFormatting>
  <conditionalFormatting sqref="I151:I152">
    <cfRule type="cellIs" dxfId="838" priority="190" operator="equal">
      <formula>0</formula>
    </cfRule>
    <cfRule type="cellIs" priority="189" operator="equal">
      <formula>0</formula>
    </cfRule>
  </conditionalFormatting>
  <conditionalFormatting sqref="I157:I159">
    <cfRule type="cellIs" dxfId="839" priority="188" operator="equal">
      <formula>0</formula>
    </cfRule>
    <cfRule type="cellIs" priority="187" operator="equal">
      <formula>0</formula>
    </cfRule>
  </conditionalFormatting>
  <conditionalFormatting sqref="I166:I169">
    <cfRule type="cellIs" dxfId="840" priority="184" operator="equal">
      <formula>0</formula>
    </cfRule>
    <cfRule type="cellIs" priority="183" operator="equal">
      <formula>0</formula>
    </cfRule>
  </conditionalFormatting>
  <conditionalFormatting sqref="I180:I181">
    <cfRule type="cellIs" dxfId="841" priority="176" operator="equal">
      <formula>0</formula>
    </cfRule>
    <cfRule type="cellIs" priority="175" operator="equal">
      <formula>0</formula>
    </cfRule>
  </conditionalFormatting>
  <conditionalFormatting sqref="J107:J109">
    <cfRule type="cellIs" dxfId="842" priority="6" operator="equal">
      <formula>0</formula>
    </cfRule>
    <cfRule type="cellIs" priority="5" operator="equal">
      <formula>0</formula>
    </cfRule>
  </conditionalFormatting>
  <conditionalFormatting sqref="K7:K8">
    <cfRule type="cellIs" dxfId="843" priority="41" operator="equal">
      <formula>0</formula>
    </cfRule>
    <cfRule type="cellIs" priority="40" operator="equal">
      <formula>0</formula>
    </cfRule>
  </conditionalFormatting>
  <conditionalFormatting sqref="K11:K12">
    <cfRule type="cellIs" dxfId="844" priority="58" operator="equal">
      <formula>0</formula>
    </cfRule>
    <cfRule type="cellIs" priority="57" operator="equal">
      <formula>0</formula>
    </cfRule>
  </conditionalFormatting>
  <conditionalFormatting sqref="K107:K109">
    <cfRule type="cellIs" dxfId="845" priority="131" operator="equal">
      <formula>0</formula>
    </cfRule>
    <cfRule type="cellIs" priority="130" operator="equal">
      <formula>0</formula>
    </cfRule>
  </conditionalFormatting>
  <conditionalFormatting sqref="K111:K112">
    <cfRule type="cellIs" dxfId="846" priority="123" operator="equal">
      <formula>0</formula>
    </cfRule>
    <cfRule type="cellIs" priority="122" operator="equal">
      <formula>0</formula>
    </cfRule>
  </conditionalFormatting>
  <conditionalFormatting sqref="M91:M105">
    <cfRule type="cellIs" dxfId="847" priority="134" operator="equal">
      <formula>0</formula>
    </cfRule>
    <cfRule type="cellIs" priority="133" operator="equal">
      <formula>0</formula>
    </cfRule>
  </conditionalFormatting>
  <conditionalFormatting sqref="M107:M109">
    <cfRule type="cellIs" priority="128" operator="equal">
      <formula>0</formula>
    </cfRule>
    <cfRule type="cellIs" dxfId="848" priority="129" operator="equal">
      <formula>0</formula>
    </cfRule>
  </conditionalFormatting>
  <conditionalFormatting sqref="M111:M112">
    <cfRule type="cellIs" priority="120" operator="equal">
      <formula>0</formula>
    </cfRule>
    <cfRule type="cellIs" dxfId="849" priority="121" operator="equal">
      <formula>0</formula>
    </cfRule>
  </conditionalFormatting>
  <conditionalFormatting sqref="D198:D1048576 D88:D89 D1:D3 D106 D110 D113:D153 D155:D186">
    <cfRule type="duplicateValues" dxfId="850" priority="214"/>
  </conditionalFormatting>
  <conditionalFormatting sqref="D23:D87 D9:D20 D4:D5">
    <cfRule type="duplicateValues" dxfId="851" priority="114"/>
  </conditionalFormatting>
  <conditionalFormatting sqref="I57:I58 I4:I5 I30 I39 I52 I55 I62:I63 I78:I81 I73:I76 I65:I71 I85:I87 I33 I9 I13 K4:K6 K13 K16:K20 I16:I17 K23:K87 K9:K10">
    <cfRule type="cellIs" dxfId="852" priority="113" operator="equal">
      <formula>0</formula>
    </cfRule>
  </conditionalFormatting>
  <conditionalFormatting sqref="I57:I58 I30 I39 I52 I55 I62:I63 I78:I81 I73:I76 I65:I71 I85:I87 I33 I9 I13 K6 K13 K16:K20 I16:I17 K23:K87 K9:K10">
    <cfRule type="cellIs" priority="112" operator="equal">
      <formula>0</formula>
    </cfRule>
  </conditionalFormatting>
  <conditionalFormatting sqref="I14:I15 K14:K15">
    <cfRule type="cellIs" dxfId="853" priority="54" operator="equal">
      <formula>0</formula>
    </cfRule>
    <cfRule type="cellIs" priority="53" operator="equal">
      <formula>0</formula>
    </cfRule>
  </conditionalFormatting>
  <conditionalFormatting sqref="I18:I20 I23">
    <cfRule type="cellIs" dxfId="854" priority="94" operator="equal">
      <formula>0</formula>
    </cfRule>
    <cfRule type="cellIs" priority="93" operator="equal">
      <formula>0</formula>
    </cfRule>
  </conditionalFormatting>
  <conditionalFormatting sqref="I120 I123:I131 I148:I150 I133 I137:I139 I142:I144 I146 I153 I160:I162 I170:I175 I165 I179 I182:I186 I198:I1048576 J112:J113 I110:K110 J114:K153 I88:K89 J155:K1048576 I155:I156 I106:K106 K90:K105 I112:I117">
    <cfRule type="cellIs" dxfId="855" priority="213" operator="equal">
      <formula>0</formula>
    </cfRule>
  </conditionalFormatting>
  <conditionalFormatting sqref="I120 I123:I131 I148:I150 I133 I137:I139 I142:I144 I146 I153 I160:I162 I170:I175 I165 I179 I182:I186 J112:J113 I110:K110 J114:K153 I88:K89 J155:K197 I155:I156 I106:K106 K90:K105 I112:I117">
    <cfRule type="cellIs" priority="212" operator="equal">
      <formula>0</formula>
    </cfRule>
  </conditionalFormatting>
  <conditionalFormatting sqref="J95 J104:J105">
    <cfRule type="cellIs" dxfId="856" priority="34" operator="equal">
      <formula>0</formula>
    </cfRule>
    <cfRule type="cellIs" priority="33" operator="equal">
      <formula>0</formula>
    </cfRule>
  </conditionalFormatting>
  <conditionalFormatting sqref="B110:C110 B113:C113">
    <cfRule type="duplicateValues" dxfId="857" priority="208"/>
  </conditionalFormatting>
  <conditionalFormatting sqref="D197 D187:D190">
    <cfRule type="duplicateValues" dxfId="858" priority="160"/>
  </conditionalFormatting>
  <conditionalFormatting sqref="I188:I190 I197">
    <cfRule type="cellIs" dxfId="859" priority="159" operator="equal">
      <formula>0</formula>
    </cfRule>
    <cfRule type="cellIs" priority="158" operator="equal">
      <formula>0</formula>
    </cfRule>
  </conditionalFormatting>
  <pageMargins left="0.699305555555556" right="0.699305555555556" top="0.75" bottom="0.75" header="0.3" footer="0.3"/>
  <pageSetup paperSize="9" orientation="portrait"/>
  <headerFooter/>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F83"/>
  <sheetViews>
    <sheetView workbookViewId="0">
      <selection activeCell="F33" sqref="F33"/>
    </sheetView>
  </sheetViews>
  <sheetFormatPr defaultColWidth="9" defaultRowHeight="12.75" outlineLevelCol="5"/>
  <cols>
    <col min="1" max="1" width="9" style="441"/>
    <col min="2" max="2" width="27.5" style="441" customWidth="1"/>
    <col min="3" max="3" width="9" style="441"/>
    <col min="4" max="4" width="8.1" style="441" customWidth="1"/>
    <col min="5" max="5" width="8.9" style="441" customWidth="1"/>
    <col min="6" max="6" width="70.4" style="441" customWidth="1"/>
    <col min="7" max="257" width="9" style="441"/>
    <col min="258" max="258" width="27.5" style="441" customWidth="1"/>
    <col min="259" max="259" width="9" style="441"/>
    <col min="260" max="260" width="8.1" style="441" customWidth="1"/>
    <col min="261" max="261" width="8.9" style="441" customWidth="1"/>
    <col min="262" max="262" width="70.4" style="441" customWidth="1"/>
    <col min="263" max="513" width="9" style="441"/>
    <col min="514" max="514" width="27.5" style="441" customWidth="1"/>
    <col min="515" max="515" width="9" style="441"/>
    <col min="516" max="516" width="8.1" style="441" customWidth="1"/>
    <col min="517" max="517" width="8.9" style="441" customWidth="1"/>
    <col min="518" max="518" width="70.4" style="441" customWidth="1"/>
    <col min="519" max="769" width="9" style="441"/>
    <col min="770" max="770" width="27.5" style="441" customWidth="1"/>
    <col min="771" max="771" width="9" style="441"/>
    <col min="772" max="772" width="8.1" style="441" customWidth="1"/>
    <col min="773" max="773" width="8.9" style="441" customWidth="1"/>
    <col min="774" max="774" width="70.4" style="441" customWidth="1"/>
    <col min="775" max="1025" width="9" style="441"/>
    <col min="1026" max="1026" width="27.5" style="441" customWidth="1"/>
    <col min="1027" max="1027" width="9" style="441"/>
    <col min="1028" max="1028" width="8.1" style="441" customWidth="1"/>
    <col min="1029" max="1029" width="8.9" style="441" customWidth="1"/>
    <col min="1030" max="1030" width="70.4" style="441" customWidth="1"/>
    <col min="1031" max="1281" width="9" style="441"/>
    <col min="1282" max="1282" width="27.5" style="441" customWidth="1"/>
    <col min="1283" max="1283" width="9" style="441"/>
    <col min="1284" max="1284" width="8.1" style="441" customWidth="1"/>
    <col min="1285" max="1285" width="8.9" style="441" customWidth="1"/>
    <col min="1286" max="1286" width="70.4" style="441" customWidth="1"/>
    <col min="1287" max="1537" width="9" style="441"/>
    <col min="1538" max="1538" width="27.5" style="441" customWidth="1"/>
    <col min="1539" max="1539" width="9" style="441"/>
    <col min="1540" max="1540" width="8.1" style="441" customWidth="1"/>
    <col min="1541" max="1541" width="8.9" style="441" customWidth="1"/>
    <col min="1542" max="1542" width="70.4" style="441" customWidth="1"/>
    <col min="1543" max="1793" width="9" style="441"/>
    <col min="1794" max="1794" width="27.5" style="441" customWidth="1"/>
    <col min="1795" max="1795" width="9" style="441"/>
    <col min="1796" max="1796" width="8.1" style="441" customWidth="1"/>
    <col min="1797" max="1797" width="8.9" style="441" customWidth="1"/>
    <col min="1798" max="1798" width="70.4" style="441" customWidth="1"/>
    <col min="1799" max="2049" width="9" style="441"/>
    <col min="2050" max="2050" width="27.5" style="441" customWidth="1"/>
    <col min="2051" max="2051" width="9" style="441"/>
    <col min="2052" max="2052" width="8.1" style="441" customWidth="1"/>
    <col min="2053" max="2053" width="8.9" style="441" customWidth="1"/>
    <col min="2054" max="2054" width="70.4" style="441" customWidth="1"/>
    <col min="2055" max="2305" width="9" style="441"/>
    <col min="2306" max="2306" width="27.5" style="441" customWidth="1"/>
    <col min="2307" max="2307" width="9" style="441"/>
    <col min="2308" max="2308" width="8.1" style="441" customWidth="1"/>
    <col min="2309" max="2309" width="8.9" style="441" customWidth="1"/>
    <col min="2310" max="2310" width="70.4" style="441" customWidth="1"/>
    <col min="2311" max="2561" width="9" style="441"/>
    <col min="2562" max="2562" width="27.5" style="441" customWidth="1"/>
    <col min="2563" max="2563" width="9" style="441"/>
    <col min="2564" max="2564" width="8.1" style="441" customWidth="1"/>
    <col min="2565" max="2565" width="8.9" style="441" customWidth="1"/>
    <col min="2566" max="2566" width="70.4" style="441" customWidth="1"/>
    <col min="2567" max="2817" width="9" style="441"/>
    <col min="2818" max="2818" width="27.5" style="441" customWidth="1"/>
    <col min="2819" max="2819" width="9" style="441"/>
    <col min="2820" max="2820" width="8.1" style="441" customWidth="1"/>
    <col min="2821" max="2821" width="8.9" style="441" customWidth="1"/>
    <col min="2822" max="2822" width="70.4" style="441" customWidth="1"/>
    <col min="2823" max="3073" width="9" style="441"/>
    <col min="3074" max="3074" width="27.5" style="441" customWidth="1"/>
    <col min="3075" max="3075" width="9" style="441"/>
    <col min="3076" max="3076" width="8.1" style="441" customWidth="1"/>
    <col min="3077" max="3077" width="8.9" style="441" customWidth="1"/>
    <col min="3078" max="3078" width="70.4" style="441" customWidth="1"/>
    <col min="3079" max="3329" width="9" style="441"/>
    <col min="3330" max="3330" width="27.5" style="441" customWidth="1"/>
    <col min="3331" max="3331" width="9" style="441"/>
    <col min="3332" max="3332" width="8.1" style="441" customWidth="1"/>
    <col min="3333" max="3333" width="8.9" style="441" customWidth="1"/>
    <col min="3334" max="3334" width="70.4" style="441" customWidth="1"/>
    <col min="3335" max="3585" width="9" style="441"/>
    <col min="3586" max="3586" width="27.5" style="441" customWidth="1"/>
    <col min="3587" max="3587" width="9" style="441"/>
    <col min="3588" max="3588" width="8.1" style="441" customWidth="1"/>
    <col min="3589" max="3589" width="8.9" style="441" customWidth="1"/>
    <col min="3590" max="3590" width="70.4" style="441" customWidth="1"/>
    <col min="3591" max="3841" width="9" style="441"/>
    <col min="3842" max="3842" width="27.5" style="441" customWidth="1"/>
    <col min="3843" max="3843" width="9" style="441"/>
    <col min="3844" max="3844" width="8.1" style="441" customWidth="1"/>
    <col min="3845" max="3845" width="8.9" style="441" customWidth="1"/>
    <col min="3846" max="3846" width="70.4" style="441" customWidth="1"/>
    <col min="3847" max="4097" width="9" style="441"/>
    <col min="4098" max="4098" width="27.5" style="441" customWidth="1"/>
    <col min="4099" max="4099" width="9" style="441"/>
    <col min="4100" max="4100" width="8.1" style="441" customWidth="1"/>
    <col min="4101" max="4101" width="8.9" style="441" customWidth="1"/>
    <col min="4102" max="4102" width="70.4" style="441" customWidth="1"/>
    <col min="4103" max="4353" width="9" style="441"/>
    <col min="4354" max="4354" width="27.5" style="441" customWidth="1"/>
    <col min="4355" max="4355" width="9" style="441"/>
    <col min="4356" max="4356" width="8.1" style="441" customWidth="1"/>
    <col min="4357" max="4357" width="8.9" style="441" customWidth="1"/>
    <col min="4358" max="4358" width="70.4" style="441" customWidth="1"/>
    <col min="4359" max="4609" width="9" style="441"/>
    <col min="4610" max="4610" width="27.5" style="441" customWidth="1"/>
    <col min="4611" max="4611" width="9" style="441"/>
    <col min="4612" max="4612" width="8.1" style="441" customWidth="1"/>
    <col min="4613" max="4613" width="8.9" style="441" customWidth="1"/>
    <col min="4614" max="4614" width="70.4" style="441" customWidth="1"/>
    <col min="4615" max="4865" width="9" style="441"/>
    <col min="4866" max="4866" width="27.5" style="441" customWidth="1"/>
    <col min="4867" max="4867" width="9" style="441"/>
    <col min="4868" max="4868" width="8.1" style="441" customWidth="1"/>
    <col min="4869" max="4869" width="8.9" style="441" customWidth="1"/>
    <col min="4870" max="4870" width="70.4" style="441" customWidth="1"/>
    <col min="4871" max="5121" width="9" style="441"/>
    <col min="5122" max="5122" width="27.5" style="441" customWidth="1"/>
    <col min="5123" max="5123" width="9" style="441"/>
    <col min="5124" max="5124" width="8.1" style="441" customWidth="1"/>
    <col min="5125" max="5125" width="8.9" style="441" customWidth="1"/>
    <col min="5126" max="5126" width="70.4" style="441" customWidth="1"/>
    <col min="5127" max="5377" width="9" style="441"/>
    <col min="5378" max="5378" width="27.5" style="441" customWidth="1"/>
    <col min="5379" max="5379" width="9" style="441"/>
    <col min="5380" max="5380" width="8.1" style="441" customWidth="1"/>
    <col min="5381" max="5381" width="8.9" style="441" customWidth="1"/>
    <col min="5382" max="5382" width="70.4" style="441" customWidth="1"/>
    <col min="5383" max="5633" width="9" style="441"/>
    <col min="5634" max="5634" width="27.5" style="441" customWidth="1"/>
    <col min="5635" max="5635" width="9" style="441"/>
    <col min="5636" max="5636" width="8.1" style="441" customWidth="1"/>
    <col min="5637" max="5637" width="8.9" style="441" customWidth="1"/>
    <col min="5638" max="5638" width="70.4" style="441" customWidth="1"/>
    <col min="5639" max="5889" width="9" style="441"/>
    <col min="5890" max="5890" width="27.5" style="441" customWidth="1"/>
    <col min="5891" max="5891" width="9" style="441"/>
    <col min="5892" max="5892" width="8.1" style="441" customWidth="1"/>
    <col min="5893" max="5893" width="8.9" style="441" customWidth="1"/>
    <col min="5894" max="5894" width="70.4" style="441" customWidth="1"/>
    <col min="5895" max="6145" width="9" style="441"/>
    <col min="6146" max="6146" width="27.5" style="441" customWidth="1"/>
    <col min="6147" max="6147" width="9" style="441"/>
    <col min="6148" max="6148" width="8.1" style="441" customWidth="1"/>
    <col min="6149" max="6149" width="8.9" style="441" customWidth="1"/>
    <col min="6150" max="6150" width="70.4" style="441" customWidth="1"/>
    <col min="6151" max="6401" width="9" style="441"/>
    <col min="6402" max="6402" width="27.5" style="441" customWidth="1"/>
    <col min="6403" max="6403" width="9" style="441"/>
    <col min="6404" max="6404" width="8.1" style="441" customWidth="1"/>
    <col min="6405" max="6405" width="8.9" style="441" customWidth="1"/>
    <col min="6406" max="6406" width="70.4" style="441" customWidth="1"/>
    <col min="6407" max="6657" width="9" style="441"/>
    <col min="6658" max="6658" width="27.5" style="441" customWidth="1"/>
    <col min="6659" max="6659" width="9" style="441"/>
    <col min="6660" max="6660" width="8.1" style="441" customWidth="1"/>
    <col min="6661" max="6661" width="8.9" style="441" customWidth="1"/>
    <col min="6662" max="6662" width="70.4" style="441" customWidth="1"/>
    <col min="6663" max="6913" width="9" style="441"/>
    <col min="6914" max="6914" width="27.5" style="441" customWidth="1"/>
    <col min="6915" max="6915" width="9" style="441"/>
    <col min="6916" max="6916" width="8.1" style="441" customWidth="1"/>
    <col min="6917" max="6917" width="8.9" style="441" customWidth="1"/>
    <col min="6918" max="6918" width="70.4" style="441" customWidth="1"/>
    <col min="6919" max="7169" width="9" style="441"/>
    <col min="7170" max="7170" width="27.5" style="441" customWidth="1"/>
    <col min="7171" max="7171" width="9" style="441"/>
    <col min="7172" max="7172" width="8.1" style="441" customWidth="1"/>
    <col min="7173" max="7173" width="8.9" style="441" customWidth="1"/>
    <col min="7174" max="7174" width="70.4" style="441" customWidth="1"/>
    <col min="7175" max="7425" width="9" style="441"/>
    <col min="7426" max="7426" width="27.5" style="441" customWidth="1"/>
    <col min="7427" max="7427" width="9" style="441"/>
    <col min="7428" max="7428" width="8.1" style="441" customWidth="1"/>
    <col min="7429" max="7429" width="8.9" style="441" customWidth="1"/>
    <col min="7430" max="7430" width="70.4" style="441" customWidth="1"/>
    <col min="7431" max="7681" width="9" style="441"/>
    <col min="7682" max="7682" width="27.5" style="441" customWidth="1"/>
    <col min="7683" max="7683" width="9" style="441"/>
    <col min="7684" max="7684" width="8.1" style="441" customWidth="1"/>
    <col min="7685" max="7685" width="8.9" style="441" customWidth="1"/>
    <col min="7686" max="7686" width="70.4" style="441" customWidth="1"/>
    <col min="7687" max="7937" width="9" style="441"/>
    <col min="7938" max="7938" width="27.5" style="441" customWidth="1"/>
    <col min="7939" max="7939" width="9" style="441"/>
    <col min="7940" max="7940" width="8.1" style="441" customWidth="1"/>
    <col min="7941" max="7941" width="8.9" style="441" customWidth="1"/>
    <col min="7942" max="7942" width="70.4" style="441" customWidth="1"/>
    <col min="7943" max="8193" width="9" style="441"/>
    <col min="8194" max="8194" width="27.5" style="441" customWidth="1"/>
    <col min="8195" max="8195" width="9" style="441"/>
    <col min="8196" max="8196" width="8.1" style="441" customWidth="1"/>
    <col min="8197" max="8197" width="8.9" style="441" customWidth="1"/>
    <col min="8198" max="8198" width="70.4" style="441" customWidth="1"/>
    <col min="8199" max="8449" width="9" style="441"/>
    <col min="8450" max="8450" width="27.5" style="441" customWidth="1"/>
    <col min="8451" max="8451" width="9" style="441"/>
    <col min="8452" max="8452" width="8.1" style="441" customWidth="1"/>
    <col min="8453" max="8453" width="8.9" style="441" customWidth="1"/>
    <col min="8454" max="8454" width="70.4" style="441" customWidth="1"/>
    <col min="8455" max="8705" width="9" style="441"/>
    <col min="8706" max="8706" width="27.5" style="441" customWidth="1"/>
    <col min="8707" max="8707" width="9" style="441"/>
    <col min="8708" max="8708" width="8.1" style="441" customWidth="1"/>
    <col min="8709" max="8709" width="8.9" style="441" customWidth="1"/>
    <col min="8710" max="8710" width="70.4" style="441" customWidth="1"/>
    <col min="8711" max="8961" width="9" style="441"/>
    <col min="8962" max="8962" width="27.5" style="441" customWidth="1"/>
    <col min="8963" max="8963" width="9" style="441"/>
    <col min="8964" max="8964" width="8.1" style="441" customWidth="1"/>
    <col min="8965" max="8965" width="8.9" style="441" customWidth="1"/>
    <col min="8966" max="8966" width="70.4" style="441" customWidth="1"/>
    <col min="8967" max="9217" width="9" style="441"/>
    <col min="9218" max="9218" width="27.5" style="441" customWidth="1"/>
    <col min="9219" max="9219" width="9" style="441"/>
    <col min="9220" max="9220" width="8.1" style="441" customWidth="1"/>
    <col min="9221" max="9221" width="8.9" style="441" customWidth="1"/>
    <col min="9222" max="9222" width="70.4" style="441" customWidth="1"/>
    <col min="9223" max="9473" width="9" style="441"/>
    <col min="9474" max="9474" width="27.5" style="441" customWidth="1"/>
    <col min="9475" max="9475" width="9" style="441"/>
    <col min="9476" max="9476" width="8.1" style="441" customWidth="1"/>
    <col min="9477" max="9477" width="8.9" style="441" customWidth="1"/>
    <col min="9478" max="9478" width="70.4" style="441" customWidth="1"/>
    <col min="9479" max="9729" width="9" style="441"/>
    <col min="9730" max="9730" width="27.5" style="441" customWidth="1"/>
    <col min="9731" max="9731" width="9" style="441"/>
    <col min="9732" max="9732" width="8.1" style="441" customWidth="1"/>
    <col min="9733" max="9733" width="8.9" style="441" customWidth="1"/>
    <col min="9734" max="9734" width="70.4" style="441" customWidth="1"/>
    <col min="9735" max="9985" width="9" style="441"/>
    <col min="9986" max="9986" width="27.5" style="441" customWidth="1"/>
    <col min="9987" max="9987" width="9" style="441"/>
    <col min="9988" max="9988" width="8.1" style="441" customWidth="1"/>
    <col min="9989" max="9989" width="8.9" style="441" customWidth="1"/>
    <col min="9990" max="9990" width="70.4" style="441" customWidth="1"/>
    <col min="9991" max="10241" width="9" style="441"/>
    <col min="10242" max="10242" width="27.5" style="441" customWidth="1"/>
    <col min="10243" max="10243" width="9" style="441"/>
    <col min="10244" max="10244" width="8.1" style="441" customWidth="1"/>
    <col min="10245" max="10245" width="8.9" style="441" customWidth="1"/>
    <col min="10246" max="10246" width="70.4" style="441" customWidth="1"/>
    <col min="10247" max="10497" width="9" style="441"/>
    <col min="10498" max="10498" width="27.5" style="441" customWidth="1"/>
    <col min="10499" max="10499" width="9" style="441"/>
    <col min="10500" max="10500" width="8.1" style="441" customWidth="1"/>
    <col min="10501" max="10501" width="8.9" style="441" customWidth="1"/>
    <col min="10502" max="10502" width="70.4" style="441" customWidth="1"/>
    <col min="10503" max="10753" width="9" style="441"/>
    <col min="10754" max="10754" width="27.5" style="441" customWidth="1"/>
    <col min="10755" max="10755" width="9" style="441"/>
    <col min="10756" max="10756" width="8.1" style="441" customWidth="1"/>
    <col min="10757" max="10757" width="8.9" style="441" customWidth="1"/>
    <col min="10758" max="10758" width="70.4" style="441" customWidth="1"/>
    <col min="10759" max="11009" width="9" style="441"/>
    <col min="11010" max="11010" width="27.5" style="441" customWidth="1"/>
    <col min="11011" max="11011" width="9" style="441"/>
    <col min="11012" max="11012" width="8.1" style="441" customWidth="1"/>
    <col min="11013" max="11013" width="8.9" style="441" customWidth="1"/>
    <col min="11014" max="11014" width="70.4" style="441" customWidth="1"/>
    <col min="11015" max="11265" width="9" style="441"/>
    <col min="11266" max="11266" width="27.5" style="441" customWidth="1"/>
    <col min="11267" max="11267" width="9" style="441"/>
    <col min="11268" max="11268" width="8.1" style="441" customWidth="1"/>
    <col min="11269" max="11269" width="8.9" style="441" customWidth="1"/>
    <col min="11270" max="11270" width="70.4" style="441" customWidth="1"/>
    <col min="11271" max="11521" width="9" style="441"/>
    <col min="11522" max="11522" width="27.5" style="441" customWidth="1"/>
    <col min="11523" max="11523" width="9" style="441"/>
    <col min="11524" max="11524" width="8.1" style="441" customWidth="1"/>
    <col min="11525" max="11525" width="8.9" style="441" customWidth="1"/>
    <col min="11526" max="11526" width="70.4" style="441" customWidth="1"/>
    <col min="11527" max="11777" width="9" style="441"/>
    <col min="11778" max="11778" width="27.5" style="441" customWidth="1"/>
    <col min="11779" max="11779" width="9" style="441"/>
    <col min="11780" max="11780" width="8.1" style="441" customWidth="1"/>
    <col min="11781" max="11781" width="8.9" style="441" customWidth="1"/>
    <col min="11782" max="11782" width="70.4" style="441" customWidth="1"/>
    <col min="11783" max="12033" width="9" style="441"/>
    <col min="12034" max="12034" width="27.5" style="441" customWidth="1"/>
    <col min="12035" max="12035" width="9" style="441"/>
    <col min="12036" max="12036" width="8.1" style="441" customWidth="1"/>
    <col min="12037" max="12037" width="8.9" style="441" customWidth="1"/>
    <col min="12038" max="12038" width="70.4" style="441" customWidth="1"/>
    <col min="12039" max="12289" width="9" style="441"/>
    <col min="12290" max="12290" width="27.5" style="441" customWidth="1"/>
    <col min="12291" max="12291" width="9" style="441"/>
    <col min="12292" max="12292" width="8.1" style="441" customWidth="1"/>
    <col min="12293" max="12293" width="8.9" style="441" customWidth="1"/>
    <col min="12294" max="12294" width="70.4" style="441" customWidth="1"/>
    <col min="12295" max="12545" width="9" style="441"/>
    <col min="12546" max="12546" width="27.5" style="441" customWidth="1"/>
    <col min="12547" max="12547" width="9" style="441"/>
    <col min="12548" max="12548" width="8.1" style="441" customWidth="1"/>
    <col min="12549" max="12549" width="8.9" style="441" customWidth="1"/>
    <col min="12550" max="12550" width="70.4" style="441" customWidth="1"/>
    <col min="12551" max="12801" width="9" style="441"/>
    <col min="12802" max="12802" width="27.5" style="441" customWidth="1"/>
    <col min="12803" max="12803" width="9" style="441"/>
    <col min="12804" max="12804" width="8.1" style="441" customWidth="1"/>
    <col min="12805" max="12805" width="8.9" style="441" customWidth="1"/>
    <col min="12806" max="12806" width="70.4" style="441" customWidth="1"/>
    <col min="12807" max="13057" width="9" style="441"/>
    <col min="13058" max="13058" width="27.5" style="441" customWidth="1"/>
    <col min="13059" max="13059" width="9" style="441"/>
    <col min="13060" max="13060" width="8.1" style="441" customWidth="1"/>
    <col min="13061" max="13061" width="8.9" style="441" customWidth="1"/>
    <col min="13062" max="13062" width="70.4" style="441" customWidth="1"/>
    <col min="13063" max="13313" width="9" style="441"/>
    <col min="13314" max="13314" width="27.5" style="441" customWidth="1"/>
    <col min="13315" max="13315" width="9" style="441"/>
    <col min="13316" max="13316" width="8.1" style="441" customWidth="1"/>
    <col min="13317" max="13317" width="8.9" style="441" customWidth="1"/>
    <col min="13318" max="13318" width="70.4" style="441" customWidth="1"/>
    <col min="13319" max="13569" width="9" style="441"/>
    <col min="13570" max="13570" width="27.5" style="441" customWidth="1"/>
    <col min="13571" max="13571" width="9" style="441"/>
    <col min="13572" max="13572" width="8.1" style="441" customWidth="1"/>
    <col min="13573" max="13573" width="8.9" style="441" customWidth="1"/>
    <col min="13574" max="13574" width="70.4" style="441" customWidth="1"/>
    <col min="13575" max="13825" width="9" style="441"/>
    <col min="13826" max="13826" width="27.5" style="441" customWidth="1"/>
    <col min="13827" max="13827" width="9" style="441"/>
    <col min="13828" max="13828" width="8.1" style="441" customWidth="1"/>
    <col min="13829" max="13829" width="8.9" style="441" customWidth="1"/>
    <col min="13830" max="13830" width="70.4" style="441" customWidth="1"/>
    <col min="13831" max="14081" width="9" style="441"/>
    <col min="14082" max="14082" width="27.5" style="441" customWidth="1"/>
    <col min="14083" max="14083" width="9" style="441"/>
    <col min="14084" max="14084" width="8.1" style="441" customWidth="1"/>
    <col min="14085" max="14085" width="8.9" style="441" customWidth="1"/>
    <col min="14086" max="14086" width="70.4" style="441" customWidth="1"/>
    <col min="14087" max="14337" width="9" style="441"/>
    <col min="14338" max="14338" width="27.5" style="441" customWidth="1"/>
    <col min="14339" max="14339" width="9" style="441"/>
    <col min="14340" max="14340" width="8.1" style="441" customWidth="1"/>
    <col min="14341" max="14341" width="8.9" style="441" customWidth="1"/>
    <col min="14342" max="14342" width="70.4" style="441" customWidth="1"/>
    <col min="14343" max="14593" width="9" style="441"/>
    <col min="14594" max="14594" width="27.5" style="441" customWidth="1"/>
    <col min="14595" max="14595" width="9" style="441"/>
    <col min="14596" max="14596" width="8.1" style="441" customWidth="1"/>
    <col min="14597" max="14597" width="8.9" style="441" customWidth="1"/>
    <col min="14598" max="14598" width="70.4" style="441" customWidth="1"/>
    <col min="14599" max="14849" width="9" style="441"/>
    <col min="14850" max="14850" width="27.5" style="441" customWidth="1"/>
    <col min="14851" max="14851" width="9" style="441"/>
    <col min="14852" max="14852" width="8.1" style="441" customWidth="1"/>
    <col min="14853" max="14853" width="8.9" style="441" customWidth="1"/>
    <col min="14854" max="14854" width="70.4" style="441" customWidth="1"/>
    <col min="14855" max="15105" width="9" style="441"/>
    <col min="15106" max="15106" width="27.5" style="441" customWidth="1"/>
    <col min="15107" max="15107" width="9" style="441"/>
    <col min="15108" max="15108" width="8.1" style="441" customWidth="1"/>
    <col min="15109" max="15109" width="8.9" style="441" customWidth="1"/>
    <col min="15110" max="15110" width="70.4" style="441" customWidth="1"/>
    <col min="15111" max="15361" width="9" style="441"/>
    <col min="15362" max="15362" width="27.5" style="441" customWidth="1"/>
    <col min="15363" max="15363" width="9" style="441"/>
    <col min="15364" max="15364" width="8.1" style="441" customWidth="1"/>
    <col min="15365" max="15365" width="8.9" style="441" customWidth="1"/>
    <col min="15366" max="15366" width="70.4" style="441" customWidth="1"/>
    <col min="15367" max="15617" width="9" style="441"/>
    <col min="15618" max="15618" width="27.5" style="441" customWidth="1"/>
    <col min="15619" max="15619" width="9" style="441"/>
    <col min="15620" max="15620" width="8.1" style="441" customWidth="1"/>
    <col min="15621" max="15621" width="8.9" style="441" customWidth="1"/>
    <col min="15622" max="15622" width="70.4" style="441" customWidth="1"/>
    <col min="15623" max="15873" width="9" style="441"/>
    <col min="15874" max="15874" width="27.5" style="441" customWidth="1"/>
    <col min="15875" max="15875" width="9" style="441"/>
    <col min="15876" max="15876" width="8.1" style="441" customWidth="1"/>
    <col min="15877" max="15877" width="8.9" style="441" customWidth="1"/>
    <col min="15878" max="15878" width="70.4" style="441" customWidth="1"/>
    <col min="15879" max="16129" width="9" style="441"/>
    <col min="16130" max="16130" width="27.5" style="441" customWidth="1"/>
    <col min="16131" max="16131" width="9" style="441"/>
    <col min="16132" max="16132" width="8.1" style="441" customWidth="1"/>
    <col min="16133" max="16133" width="8.9" style="441" customWidth="1"/>
    <col min="16134" max="16134" width="70.4" style="441" customWidth="1"/>
    <col min="16135" max="16384" width="9" style="441"/>
  </cols>
  <sheetData>
    <row r="1" ht="11.25" customHeight="1"/>
    <row r="2" ht="11.25" customHeight="1" spans="2:2">
      <c r="B2" s="442" t="s">
        <v>1999</v>
      </c>
    </row>
    <row r="3" ht="14.25" customHeight="1" spans="2:6">
      <c r="B3" s="443" t="s">
        <v>2000</v>
      </c>
      <c r="C3" s="444"/>
      <c r="D3" s="444"/>
      <c r="E3" s="444"/>
      <c r="F3" s="444"/>
    </row>
    <row r="4" ht="14.25" customHeight="1" spans="2:6">
      <c r="B4" s="443" t="s">
        <v>2001</v>
      </c>
      <c r="C4" s="444"/>
      <c r="D4" s="444"/>
      <c r="E4" s="444"/>
      <c r="F4" s="444"/>
    </row>
    <row r="5" spans="2:6">
      <c r="B5" s="445" t="s">
        <v>2002</v>
      </c>
      <c r="F5" s="446" t="s">
        <v>2003</v>
      </c>
    </row>
    <row r="6" spans="2:6">
      <c r="B6" s="445" t="s">
        <v>492</v>
      </c>
      <c r="F6" s="446" t="s">
        <v>2004</v>
      </c>
    </row>
    <row r="8" spans="2:6">
      <c r="B8" s="447" t="s">
        <v>2005</v>
      </c>
      <c r="C8" s="447" t="s">
        <v>21</v>
      </c>
      <c r="D8" s="447" t="s">
        <v>1334</v>
      </c>
      <c r="E8" s="447" t="s">
        <v>2006</v>
      </c>
      <c r="F8" s="447" t="s">
        <v>398</v>
      </c>
    </row>
    <row r="9" spans="2:6">
      <c r="B9" s="448" t="s">
        <v>2007</v>
      </c>
      <c r="C9" s="449">
        <v>1</v>
      </c>
      <c r="D9" s="449" t="s">
        <v>1354</v>
      </c>
      <c r="E9" s="449" t="s">
        <v>2008</v>
      </c>
      <c r="F9" s="448" t="s">
        <v>2009</v>
      </c>
    </row>
    <row r="10" spans="2:5">
      <c r="B10" s="448" t="s">
        <v>2010</v>
      </c>
      <c r="C10" s="449">
        <v>2</v>
      </c>
      <c r="D10" s="449" t="s">
        <v>1354</v>
      </c>
      <c r="E10" s="449" t="s">
        <v>2011</v>
      </c>
    </row>
    <row r="11" spans="2:6">
      <c r="B11" s="448" t="s">
        <v>2012</v>
      </c>
      <c r="C11" s="449">
        <v>3</v>
      </c>
      <c r="D11" s="449" t="s">
        <v>1354</v>
      </c>
      <c r="E11" s="449" t="s">
        <v>2013</v>
      </c>
      <c r="F11" s="446" t="s">
        <v>2014</v>
      </c>
    </row>
    <row r="12" spans="2:5">
      <c r="B12" s="448" t="s">
        <v>2015</v>
      </c>
      <c r="C12" s="449">
        <v>4</v>
      </c>
      <c r="D12" s="449" t="s">
        <v>1354</v>
      </c>
      <c r="E12" s="449" t="s">
        <v>2016</v>
      </c>
    </row>
    <row r="13" spans="2:6">
      <c r="B13" s="448" t="s">
        <v>2017</v>
      </c>
      <c r="C13" s="449">
        <v>5</v>
      </c>
      <c r="D13" s="449" t="s">
        <v>1354</v>
      </c>
      <c r="E13" s="449" t="s">
        <v>2018</v>
      </c>
      <c r="F13" s="448" t="s">
        <v>2019</v>
      </c>
    </row>
    <row r="14" spans="2:6">
      <c r="B14" s="448" t="s">
        <v>2020</v>
      </c>
      <c r="C14" s="449">
        <v>6</v>
      </c>
      <c r="D14" s="449" t="s">
        <v>1354</v>
      </c>
      <c r="E14" s="449" t="s">
        <v>2021</v>
      </c>
      <c r="F14" s="448" t="s">
        <v>2022</v>
      </c>
    </row>
    <row r="15" spans="2:5">
      <c r="B15" s="448" t="s">
        <v>2023</v>
      </c>
      <c r="C15" s="449">
        <v>7</v>
      </c>
      <c r="D15" s="449" t="s">
        <v>1354</v>
      </c>
      <c r="E15" s="449" t="s">
        <v>2024</v>
      </c>
    </row>
    <row r="16" spans="2:5">
      <c r="B16" s="448" t="s">
        <v>2025</v>
      </c>
      <c r="C16" s="449">
        <v>8</v>
      </c>
      <c r="D16" s="449" t="s">
        <v>1354</v>
      </c>
      <c r="E16" s="449" t="s">
        <v>2026</v>
      </c>
    </row>
    <row r="17" spans="2:5">
      <c r="B17" s="448" t="s">
        <v>2027</v>
      </c>
      <c r="C17" s="449">
        <v>9</v>
      </c>
      <c r="D17" s="449" t="s">
        <v>1354</v>
      </c>
      <c r="E17" s="449" t="s">
        <v>2028</v>
      </c>
    </row>
    <row r="18" spans="2:6">
      <c r="B18" s="448" t="s">
        <v>2029</v>
      </c>
      <c r="C18" s="449">
        <v>10</v>
      </c>
      <c r="D18" s="449" t="s">
        <v>1354</v>
      </c>
      <c r="E18" s="449" t="s">
        <v>2030</v>
      </c>
      <c r="F18" s="448" t="s">
        <v>2031</v>
      </c>
    </row>
    <row r="19" spans="2:5">
      <c r="B19" s="448" t="s">
        <v>2032</v>
      </c>
      <c r="C19" s="449">
        <v>11</v>
      </c>
      <c r="D19" s="449" t="s">
        <v>1354</v>
      </c>
      <c r="E19" s="449" t="s">
        <v>2033</v>
      </c>
    </row>
    <row r="20" spans="2:5">
      <c r="B20" s="448" t="s">
        <v>2034</v>
      </c>
      <c r="C20" s="449">
        <v>12</v>
      </c>
      <c r="D20" s="449" t="s">
        <v>1354</v>
      </c>
      <c r="E20" s="449" t="s">
        <v>2035</v>
      </c>
    </row>
    <row r="21" spans="2:6">
      <c r="B21" s="450" t="s">
        <v>2036</v>
      </c>
      <c r="C21" s="449">
        <v>13</v>
      </c>
      <c r="D21" s="449" t="s">
        <v>1354</v>
      </c>
      <c r="E21" s="449" t="s">
        <v>2037</v>
      </c>
      <c r="F21" s="451" t="s">
        <v>2038</v>
      </c>
    </row>
    <row r="22" spans="2:5">
      <c r="B22" s="448" t="s">
        <v>2039</v>
      </c>
      <c r="C22" s="449">
        <v>14</v>
      </c>
      <c r="D22" s="449" t="s">
        <v>1354</v>
      </c>
      <c r="E22" s="449" t="s">
        <v>2040</v>
      </c>
    </row>
    <row r="23" spans="2:5">
      <c r="B23" s="448" t="s">
        <v>2041</v>
      </c>
      <c r="C23" s="449">
        <v>15</v>
      </c>
      <c r="D23" s="449" t="s">
        <v>1354</v>
      </c>
      <c r="E23" s="449" t="s">
        <v>2042</v>
      </c>
    </row>
    <row r="24" spans="2:5">
      <c r="B24" s="448" t="s">
        <v>2043</v>
      </c>
      <c r="C24" s="449">
        <v>16</v>
      </c>
      <c r="D24" s="449" t="s">
        <v>1354</v>
      </c>
      <c r="E24" s="449" t="s">
        <v>2044</v>
      </c>
    </row>
    <row r="25" spans="2:5">
      <c r="B25" s="448" t="s">
        <v>2045</v>
      </c>
      <c r="C25" s="449">
        <v>17</v>
      </c>
      <c r="D25" s="449" t="s">
        <v>1354</v>
      </c>
      <c r="E25" s="449" t="s">
        <v>2046</v>
      </c>
    </row>
    <row r="26" spans="2:5">
      <c r="B26" s="448" t="s">
        <v>2047</v>
      </c>
      <c r="C26" s="449">
        <v>18</v>
      </c>
      <c r="D26" s="449" t="s">
        <v>1354</v>
      </c>
      <c r="E26" s="449" t="s">
        <v>2048</v>
      </c>
    </row>
    <row r="27" spans="2:5">
      <c r="B27" s="448" t="s">
        <v>2049</v>
      </c>
      <c r="C27" s="449">
        <v>19</v>
      </c>
      <c r="D27" s="449" t="s">
        <v>1354</v>
      </c>
      <c r="E27" s="449" t="s">
        <v>2050</v>
      </c>
    </row>
    <row r="28" spans="2:6">
      <c r="B28" s="448" t="s">
        <v>2051</v>
      </c>
      <c r="C28" s="449">
        <v>20</v>
      </c>
      <c r="D28" s="449" t="s">
        <v>1354</v>
      </c>
      <c r="E28" s="449" t="s">
        <v>2052</v>
      </c>
      <c r="F28" s="448" t="s">
        <v>2053</v>
      </c>
    </row>
    <row r="29" spans="2:5">
      <c r="B29" s="448" t="s">
        <v>2054</v>
      </c>
      <c r="C29" s="449">
        <v>21</v>
      </c>
      <c r="D29" s="449" t="s">
        <v>1354</v>
      </c>
      <c r="E29" s="449" t="s">
        <v>2055</v>
      </c>
    </row>
    <row r="30" spans="2:5">
      <c r="B30" s="448" t="s">
        <v>2056</v>
      </c>
      <c r="C30" s="449">
        <v>22</v>
      </c>
      <c r="D30" s="449" t="s">
        <v>1354</v>
      </c>
      <c r="E30" s="449" t="s">
        <v>2057</v>
      </c>
    </row>
    <row r="31" spans="2:5">
      <c r="B31" s="448" t="s">
        <v>2058</v>
      </c>
      <c r="C31" s="449">
        <v>23</v>
      </c>
      <c r="D31" s="452" t="s">
        <v>2059</v>
      </c>
      <c r="E31" s="449" t="s">
        <v>2060</v>
      </c>
    </row>
    <row r="32" spans="2:5">
      <c r="B32" s="448" t="s">
        <v>2061</v>
      </c>
      <c r="C32" s="449">
        <v>24</v>
      </c>
      <c r="D32" s="452" t="s">
        <v>1343</v>
      </c>
      <c r="E32" s="449" t="s">
        <v>2062</v>
      </c>
    </row>
    <row r="33" spans="2:5">
      <c r="B33" s="448" t="s">
        <v>2063</v>
      </c>
      <c r="C33" s="449">
        <v>25</v>
      </c>
      <c r="D33" s="452" t="s">
        <v>1343</v>
      </c>
      <c r="E33" s="449" t="s">
        <v>2064</v>
      </c>
    </row>
    <row r="34" spans="2:5">
      <c r="B34" s="448" t="s">
        <v>2065</v>
      </c>
      <c r="C34" s="449">
        <v>26</v>
      </c>
      <c r="D34" s="452" t="s">
        <v>1343</v>
      </c>
      <c r="E34" s="449" t="s">
        <v>2066</v>
      </c>
    </row>
    <row r="35" spans="2:5">
      <c r="B35" s="448" t="s">
        <v>2067</v>
      </c>
      <c r="C35" s="449">
        <v>27</v>
      </c>
      <c r="D35" s="452" t="s">
        <v>1343</v>
      </c>
      <c r="E35" s="449" t="s">
        <v>2068</v>
      </c>
    </row>
    <row r="36" spans="2:5">
      <c r="B36" s="448" t="s">
        <v>2069</v>
      </c>
      <c r="C36" s="449">
        <v>28</v>
      </c>
      <c r="D36" s="452" t="s">
        <v>1343</v>
      </c>
      <c r="E36" s="449" t="s">
        <v>2070</v>
      </c>
    </row>
    <row r="37" spans="2:5">
      <c r="B37" s="448" t="s">
        <v>2071</v>
      </c>
      <c r="C37" s="449">
        <v>29</v>
      </c>
      <c r="D37" s="452" t="s">
        <v>1343</v>
      </c>
      <c r="E37" s="449" t="s">
        <v>2072</v>
      </c>
    </row>
    <row r="38" spans="2:5">
      <c r="B38" s="448" t="s">
        <v>2073</v>
      </c>
      <c r="C38" s="449">
        <v>30</v>
      </c>
      <c r="D38" s="452" t="s">
        <v>1343</v>
      </c>
      <c r="E38" s="449" t="s">
        <v>2074</v>
      </c>
    </row>
    <row r="39" spans="2:5">
      <c r="B39" s="448" t="s">
        <v>2075</v>
      </c>
      <c r="C39" s="449">
        <v>31</v>
      </c>
      <c r="D39" s="452" t="s">
        <v>1343</v>
      </c>
      <c r="E39" s="449" t="s">
        <v>2076</v>
      </c>
    </row>
    <row r="40" spans="2:5">
      <c r="B40" s="448" t="s">
        <v>2077</v>
      </c>
      <c r="C40" s="449">
        <v>32</v>
      </c>
      <c r="D40" s="452" t="s">
        <v>1343</v>
      </c>
      <c r="E40" s="449" t="s">
        <v>2078</v>
      </c>
    </row>
    <row r="41" spans="2:5">
      <c r="B41" s="448" t="s">
        <v>2079</v>
      </c>
      <c r="C41" s="449">
        <v>33</v>
      </c>
      <c r="D41" s="452" t="s">
        <v>1343</v>
      </c>
      <c r="E41" s="449" t="s">
        <v>2080</v>
      </c>
    </row>
    <row r="42" spans="2:5">
      <c r="B42" s="448" t="s">
        <v>2081</v>
      </c>
      <c r="C42" s="449">
        <v>34</v>
      </c>
      <c r="D42" s="452" t="s">
        <v>1343</v>
      </c>
      <c r="E42" s="449" t="s">
        <v>2082</v>
      </c>
    </row>
    <row r="43" spans="2:5">
      <c r="B43" s="448" t="s">
        <v>2083</v>
      </c>
      <c r="C43" s="449">
        <v>35</v>
      </c>
      <c r="D43" s="452" t="s">
        <v>1343</v>
      </c>
      <c r="E43" s="449" t="s">
        <v>2084</v>
      </c>
    </row>
    <row r="44" spans="2:5">
      <c r="B44" s="448" t="s">
        <v>2085</v>
      </c>
      <c r="C44" s="449">
        <v>36</v>
      </c>
      <c r="D44" s="452" t="s">
        <v>1343</v>
      </c>
      <c r="E44" s="449" t="s">
        <v>2086</v>
      </c>
    </row>
    <row r="45" spans="2:5">
      <c r="B45" s="448" t="s">
        <v>2087</v>
      </c>
      <c r="C45" s="449">
        <v>37</v>
      </c>
      <c r="D45" s="452" t="s">
        <v>1343</v>
      </c>
      <c r="E45" s="449" t="s">
        <v>2088</v>
      </c>
    </row>
    <row r="46" spans="2:5">
      <c r="B46" s="448" t="s">
        <v>2089</v>
      </c>
      <c r="C46" s="449">
        <v>38</v>
      </c>
      <c r="D46" s="452" t="s">
        <v>1343</v>
      </c>
      <c r="E46" s="449" t="s">
        <v>2090</v>
      </c>
    </row>
    <row r="47" spans="2:5">
      <c r="B47" s="448" t="s">
        <v>2091</v>
      </c>
      <c r="C47" s="449">
        <v>39</v>
      </c>
      <c r="D47" s="452" t="s">
        <v>1343</v>
      </c>
      <c r="E47" s="449" t="s">
        <v>2092</v>
      </c>
    </row>
    <row r="48" spans="2:6">
      <c r="B48" s="448" t="s">
        <v>2093</v>
      </c>
      <c r="C48" s="449">
        <v>40</v>
      </c>
      <c r="D48" s="449" t="s">
        <v>1345</v>
      </c>
      <c r="E48" s="449" t="s">
        <v>2094</v>
      </c>
      <c r="F48" s="448" t="s">
        <v>2095</v>
      </c>
    </row>
    <row r="49" spans="2:5">
      <c r="B49" s="448" t="s">
        <v>2096</v>
      </c>
      <c r="C49" s="449">
        <v>41</v>
      </c>
      <c r="D49" s="449" t="s">
        <v>1345</v>
      </c>
      <c r="E49" s="449" t="s">
        <v>2097</v>
      </c>
    </row>
    <row r="50" spans="2:5">
      <c r="B50" s="448" t="s">
        <v>2098</v>
      </c>
      <c r="C50" s="449">
        <v>42</v>
      </c>
      <c r="D50" s="449" t="s">
        <v>1345</v>
      </c>
      <c r="E50" s="449" t="s">
        <v>2099</v>
      </c>
    </row>
    <row r="51" spans="2:5">
      <c r="B51" s="448" t="s">
        <v>2100</v>
      </c>
      <c r="C51" s="449">
        <v>43</v>
      </c>
      <c r="D51" s="449" t="s">
        <v>1345</v>
      </c>
      <c r="E51" s="449" t="s">
        <v>2101</v>
      </c>
    </row>
    <row r="52" spans="2:5">
      <c r="B52" s="448" t="s">
        <v>2102</v>
      </c>
      <c r="C52" s="449">
        <v>44</v>
      </c>
      <c r="D52" s="449" t="s">
        <v>1345</v>
      </c>
      <c r="E52" s="449" t="s">
        <v>2103</v>
      </c>
    </row>
    <row r="53" spans="2:5">
      <c r="B53" s="448" t="s">
        <v>2104</v>
      </c>
      <c r="C53" s="449">
        <v>45</v>
      </c>
      <c r="D53" s="449" t="s">
        <v>1345</v>
      </c>
      <c r="E53" s="449" t="s">
        <v>2105</v>
      </c>
    </row>
    <row r="54" spans="2:6">
      <c r="B54" s="448" t="s">
        <v>2106</v>
      </c>
      <c r="C54" s="449">
        <v>46</v>
      </c>
      <c r="D54" s="449" t="s">
        <v>1345</v>
      </c>
      <c r="E54" s="449" t="s">
        <v>2107</v>
      </c>
      <c r="F54" s="448" t="s">
        <v>2108</v>
      </c>
    </row>
    <row r="55" spans="2:5">
      <c r="B55" s="448" t="s">
        <v>2109</v>
      </c>
      <c r="C55" s="449">
        <v>47</v>
      </c>
      <c r="D55" s="449" t="s">
        <v>1345</v>
      </c>
      <c r="E55" s="449" t="s">
        <v>2110</v>
      </c>
    </row>
    <row r="56" spans="2:5">
      <c r="B56" s="448" t="s">
        <v>2111</v>
      </c>
      <c r="C56" s="449">
        <v>48</v>
      </c>
      <c r="D56" s="449" t="s">
        <v>1345</v>
      </c>
      <c r="E56" s="449" t="s">
        <v>2112</v>
      </c>
    </row>
    <row r="57" spans="2:5">
      <c r="B57" s="448" t="s">
        <v>2113</v>
      </c>
      <c r="C57" s="449">
        <v>49</v>
      </c>
      <c r="D57" s="449" t="s">
        <v>1345</v>
      </c>
      <c r="E57" s="449" t="s">
        <v>2114</v>
      </c>
    </row>
    <row r="58" spans="2:5">
      <c r="B58" s="448" t="s">
        <v>1386</v>
      </c>
      <c r="C58" s="449">
        <v>50</v>
      </c>
      <c r="D58" s="449" t="s">
        <v>1345</v>
      </c>
      <c r="E58" s="449" t="s">
        <v>2115</v>
      </c>
    </row>
    <row r="59" spans="2:6">
      <c r="B59" s="448" t="s">
        <v>2116</v>
      </c>
      <c r="C59" s="449">
        <v>51</v>
      </c>
      <c r="D59" s="449" t="s">
        <v>1345</v>
      </c>
      <c r="E59" s="449" t="s">
        <v>2117</v>
      </c>
      <c r="F59" s="448" t="s">
        <v>2118</v>
      </c>
    </row>
    <row r="60" spans="2:5">
      <c r="B60" s="448" t="s">
        <v>2119</v>
      </c>
      <c r="C60" s="449">
        <v>52</v>
      </c>
      <c r="D60" s="449" t="s">
        <v>1345</v>
      </c>
      <c r="E60" s="449" t="s">
        <v>2120</v>
      </c>
    </row>
    <row r="61" spans="2:5">
      <c r="B61" s="448" t="s">
        <v>2121</v>
      </c>
      <c r="C61" s="449">
        <v>53</v>
      </c>
      <c r="D61" s="449" t="s">
        <v>1345</v>
      </c>
      <c r="E61" s="449" t="s">
        <v>2122</v>
      </c>
    </row>
    <row r="62" spans="2:5">
      <c r="B62" s="448" t="s">
        <v>2123</v>
      </c>
      <c r="C62" s="449">
        <v>54</v>
      </c>
      <c r="D62" s="449" t="s">
        <v>1345</v>
      </c>
      <c r="E62" s="449" t="s">
        <v>2124</v>
      </c>
    </row>
    <row r="63" spans="2:5">
      <c r="B63" s="448" t="s">
        <v>2125</v>
      </c>
      <c r="C63" s="449">
        <v>55</v>
      </c>
      <c r="D63" s="449" t="s">
        <v>1345</v>
      </c>
      <c r="E63" s="449" t="s">
        <v>2126</v>
      </c>
    </row>
    <row r="64" spans="2:5">
      <c r="B64" s="448" t="s">
        <v>2127</v>
      </c>
      <c r="C64" s="449">
        <v>56</v>
      </c>
      <c r="D64" s="449" t="s">
        <v>1345</v>
      </c>
      <c r="E64" s="449" t="s">
        <v>2128</v>
      </c>
    </row>
    <row r="65" spans="2:5">
      <c r="B65" s="448" t="s">
        <v>2129</v>
      </c>
      <c r="C65" s="449">
        <v>57</v>
      </c>
      <c r="D65" s="449" t="s">
        <v>1345</v>
      </c>
      <c r="E65" s="449" t="s">
        <v>2130</v>
      </c>
    </row>
    <row r="66" spans="2:5">
      <c r="B66" s="448" t="s">
        <v>2131</v>
      </c>
      <c r="C66" s="449">
        <v>58</v>
      </c>
      <c r="D66" s="449" t="s">
        <v>1345</v>
      </c>
      <c r="E66" s="449" t="s">
        <v>2132</v>
      </c>
    </row>
    <row r="67" spans="2:5">
      <c r="B67" s="448" t="s">
        <v>1384</v>
      </c>
      <c r="C67" s="449">
        <v>59</v>
      </c>
      <c r="D67" s="449" t="s">
        <v>1345</v>
      </c>
      <c r="E67" s="449" t="s">
        <v>2133</v>
      </c>
    </row>
    <row r="68" spans="2:5">
      <c r="B68" s="448" t="s">
        <v>2134</v>
      </c>
      <c r="C68" s="449">
        <v>60</v>
      </c>
      <c r="D68" s="449" t="s">
        <v>1345</v>
      </c>
      <c r="E68" s="449" t="s">
        <v>2135</v>
      </c>
    </row>
    <row r="69" spans="2:5">
      <c r="B69" s="448" t="s">
        <v>2136</v>
      </c>
      <c r="C69" s="449">
        <v>61</v>
      </c>
      <c r="D69" s="449" t="s">
        <v>1345</v>
      </c>
      <c r="E69" s="449" t="s">
        <v>2137</v>
      </c>
    </row>
    <row r="70" spans="2:5">
      <c r="B70" s="448" t="s">
        <v>2138</v>
      </c>
      <c r="C70" s="449">
        <v>62</v>
      </c>
      <c r="D70" s="449" t="s">
        <v>1345</v>
      </c>
      <c r="E70" s="449" t="s">
        <v>2139</v>
      </c>
    </row>
    <row r="71" spans="2:5">
      <c r="B71" s="448" t="s">
        <v>2140</v>
      </c>
      <c r="C71" s="449">
        <v>63</v>
      </c>
      <c r="D71" s="449" t="s">
        <v>1345</v>
      </c>
      <c r="E71" s="449" t="s">
        <v>2141</v>
      </c>
    </row>
    <row r="72" spans="2:5">
      <c r="B72" s="448" t="s">
        <v>2142</v>
      </c>
      <c r="C72" s="449">
        <v>64</v>
      </c>
      <c r="D72" s="449" t="s">
        <v>1345</v>
      </c>
      <c r="E72" s="449" t="s">
        <v>2143</v>
      </c>
    </row>
    <row r="73" spans="2:5">
      <c r="B73" s="448" t="s">
        <v>2144</v>
      </c>
      <c r="C73" s="449">
        <v>65</v>
      </c>
      <c r="D73" s="449" t="s">
        <v>1345</v>
      </c>
      <c r="E73" s="449" t="s">
        <v>2145</v>
      </c>
    </row>
    <row r="74" spans="2:6">
      <c r="B74" s="448" t="s">
        <v>2146</v>
      </c>
      <c r="C74" s="449">
        <v>66</v>
      </c>
      <c r="D74" s="449" t="s">
        <v>1345</v>
      </c>
      <c r="E74" s="449" t="s">
        <v>2147</v>
      </c>
      <c r="F74" s="446" t="s">
        <v>2148</v>
      </c>
    </row>
    <row r="75" spans="2:5">
      <c r="B75" s="453" t="s">
        <v>2149</v>
      </c>
      <c r="C75" s="449">
        <v>67</v>
      </c>
      <c r="D75" s="452" t="s">
        <v>440</v>
      </c>
      <c r="E75" s="449" t="s">
        <v>2150</v>
      </c>
    </row>
    <row r="76" spans="2:5">
      <c r="B76" s="453" t="s">
        <v>1313</v>
      </c>
      <c r="C76" s="449">
        <v>68</v>
      </c>
      <c r="D76" s="452" t="s">
        <v>440</v>
      </c>
      <c r="E76" s="449" t="s">
        <v>2151</v>
      </c>
    </row>
    <row r="77" spans="2:5">
      <c r="B77" s="453" t="s">
        <v>2152</v>
      </c>
      <c r="C77" s="449">
        <v>69</v>
      </c>
      <c r="D77" s="452" t="s">
        <v>440</v>
      </c>
      <c r="E77" s="449" t="s">
        <v>2153</v>
      </c>
    </row>
    <row r="78" spans="2:5">
      <c r="B78" s="448" t="s">
        <v>2154</v>
      </c>
      <c r="C78" s="449">
        <v>70</v>
      </c>
      <c r="D78" s="454" t="s">
        <v>1402</v>
      </c>
      <c r="E78" s="449" t="s">
        <v>2155</v>
      </c>
    </row>
    <row r="79" spans="2:5">
      <c r="B79" s="448" t="s">
        <v>2156</v>
      </c>
      <c r="C79" s="449">
        <v>71</v>
      </c>
      <c r="D79" s="454" t="s">
        <v>1402</v>
      </c>
      <c r="E79" s="449" t="s">
        <v>2157</v>
      </c>
    </row>
    <row r="80" spans="2:5">
      <c r="B80" s="448" t="s">
        <v>2158</v>
      </c>
      <c r="C80" s="449">
        <v>72</v>
      </c>
      <c r="D80" s="454" t="s">
        <v>1402</v>
      </c>
      <c r="E80" s="449" t="s">
        <v>2159</v>
      </c>
    </row>
    <row r="81" spans="2:5">
      <c r="B81" s="448" t="s">
        <v>2160</v>
      </c>
      <c r="C81" s="449">
        <v>73</v>
      </c>
      <c r="D81" s="454" t="s">
        <v>1402</v>
      </c>
      <c r="E81" s="449" t="s">
        <v>2161</v>
      </c>
    </row>
    <row r="82" spans="2:5">
      <c r="B82" s="448" t="s">
        <v>2162</v>
      </c>
      <c r="C82" s="449">
        <v>74</v>
      </c>
      <c r="D82" s="454" t="s">
        <v>1402</v>
      </c>
      <c r="E82" s="449" t="s">
        <v>2163</v>
      </c>
    </row>
    <row r="83" ht="14.25" customHeight="1" spans="2:5">
      <c r="B83" s="455" t="s">
        <v>2164</v>
      </c>
      <c r="C83" s="449">
        <v>75</v>
      </c>
      <c r="D83" s="454" t="s">
        <v>1402</v>
      </c>
      <c r="E83" s="449" t="s">
        <v>2165</v>
      </c>
    </row>
  </sheetData>
  <autoFilter ref="B8:F83"/>
  <mergeCells count="1">
    <mergeCell ref="B3:F3"/>
  </mergeCells>
  <dataValidations count="1">
    <dataValidation type="list" allowBlank="1" showInputMessage="1" showErrorMessage="1" sqref="D8:D83 D65545:D65619 D131081:D131155 D196617:D196691 D262153:D262227 D327689:D327763 D393225:D393299 D458761:D458835 D524297:D524371 D589833:D589907 D655369:D655443 D720905:D720979 D786441:D786515 D851977:D852051 D917513:D917587 D983049:D983123 IZ8:IZ83 IZ65545:IZ65619 IZ131081:IZ131155 IZ196617:IZ196691 IZ262153:IZ262227 IZ327689:IZ327763 IZ393225:IZ393299 IZ458761:IZ458835 IZ524297:IZ524371 IZ589833:IZ589907 IZ655369:IZ655443 IZ720905:IZ720979 IZ786441:IZ786515 IZ851977:IZ852051 IZ917513:IZ917587 IZ983049:IZ983123 SV8:SV83 SV65545:SV65619 SV131081:SV131155 SV196617:SV196691 SV262153:SV262227 SV327689:SV327763 SV393225:SV393299 SV458761:SV458835 SV524297:SV524371 SV589833:SV589907 SV655369:SV655443 SV720905:SV720979 SV786441:SV786515 SV851977:SV852051 SV917513:SV917587 SV983049:SV983123 ACR8:ACR83 ACR65545:ACR65619 ACR131081:ACR131155 ACR196617:ACR196691 ACR262153:ACR262227 ACR327689:ACR327763 ACR393225:ACR393299 ACR458761:ACR458835 ACR524297:ACR524371 ACR589833:ACR589907 ACR655369:ACR655443 ACR720905:ACR720979 ACR786441:ACR786515 ACR851977:ACR852051 ACR917513:ACR917587 ACR983049:ACR983123 AMN8:AMN83 AMN65545:AMN65619 AMN131081:AMN131155 AMN196617:AMN196691 AMN262153:AMN262227 AMN327689:AMN327763 AMN393225:AMN393299 AMN458761:AMN458835 AMN524297:AMN524371 AMN589833:AMN589907 AMN655369:AMN655443 AMN720905:AMN720979 AMN786441:AMN786515 AMN851977:AMN852051 AMN917513:AMN917587 AMN983049:AMN983123 AWJ8:AWJ83 AWJ65545:AWJ65619 AWJ131081:AWJ131155 AWJ196617:AWJ196691 AWJ262153:AWJ262227 AWJ327689:AWJ327763 AWJ393225:AWJ393299 AWJ458761:AWJ458835 AWJ524297:AWJ524371 AWJ589833:AWJ589907 AWJ655369:AWJ655443 AWJ720905:AWJ720979 AWJ786441:AWJ786515 AWJ851977:AWJ852051 AWJ917513:AWJ917587 AWJ983049:AWJ983123 BGF8:BGF83 BGF65545:BGF65619 BGF131081:BGF131155 BGF196617:BGF196691 BGF262153:BGF262227 BGF327689:BGF327763 BGF393225:BGF393299 BGF458761:BGF458835 BGF524297:BGF524371 BGF589833:BGF589907 BGF655369:BGF655443 BGF720905:BGF720979 BGF786441:BGF786515 BGF851977:BGF852051 BGF917513:BGF917587 BGF983049:BGF983123 BQB8:BQB83 BQB65545:BQB65619 BQB131081:BQB131155 BQB196617:BQB196691 BQB262153:BQB262227 BQB327689:BQB327763 BQB393225:BQB393299 BQB458761:BQB458835 BQB524297:BQB524371 BQB589833:BQB589907 BQB655369:BQB655443 BQB720905:BQB720979 BQB786441:BQB786515 BQB851977:BQB852051 BQB917513:BQB917587 BQB983049:BQB983123 BZX8:BZX83 BZX65545:BZX65619 BZX131081:BZX131155 BZX196617:BZX196691 BZX262153:BZX262227 BZX327689:BZX327763 BZX393225:BZX393299 BZX458761:BZX458835 BZX524297:BZX524371 BZX589833:BZX589907 BZX655369:BZX655443 BZX720905:BZX720979 BZX786441:BZX786515 BZX851977:BZX852051 BZX917513:BZX917587 BZX983049:BZX983123 CJT8:CJT83 CJT65545:CJT65619 CJT131081:CJT131155 CJT196617:CJT196691 CJT262153:CJT262227 CJT327689:CJT327763 CJT393225:CJT393299 CJT458761:CJT458835 CJT524297:CJT524371 CJT589833:CJT589907 CJT655369:CJT655443 CJT720905:CJT720979 CJT786441:CJT786515 CJT851977:CJT852051 CJT917513:CJT917587 CJT983049:CJT983123 CTP8:CTP83 CTP65545:CTP65619 CTP131081:CTP131155 CTP196617:CTP196691 CTP262153:CTP262227 CTP327689:CTP327763 CTP393225:CTP393299 CTP458761:CTP458835 CTP524297:CTP524371 CTP589833:CTP589907 CTP655369:CTP655443 CTP720905:CTP720979 CTP786441:CTP786515 CTP851977:CTP852051 CTP917513:CTP917587 CTP983049:CTP983123 DDL8:DDL83 DDL65545:DDL65619 DDL131081:DDL131155 DDL196617:DDL196691 DDL262153:DDL262227 DDL327689:DDL327763 DDL393225:DDL393299 DDL458761:DDL458835 DDL524297:DDL524371 DDL589833:DDL589907 DDL655369:DDL655443 DDL720905:DDL720979 DDL786441:DDL786515 DDL851977:DDL852051 DDL917513:DDL917587 DDL983049:DDL983123 DNH8:DNH83 DNH65545:DNH65619 DNH131081:DNH131155 DNH196617:DNH196691 DNH262153:DNH262227 DNH327689:DNH327763 DNH393225:DNH393299 DNH458761:DNH458835 DNH524297:DNH524371 DNH589833:DNH589907 DNH655369:DNH655443 DNH720905:DNH720979 DNH786441:DNH786515 DNH851977:DNH852051 DNH917513:DNH917587 DNH983049:DNH983123 DXD8:DXD83 DXD65545:DXD65619 DXD131081:DXD131155 DXD196617:DXD196691 DXD262153:DXD262227 DXD327689:DXD327763 DXD393225:DXD393299 DXD458761:DXD458835 DXD524297:DXD524371 DXD589833:DXD589907 DXD655369:DXD655443 DXD720905:DXD720979 DXD786441:DXD786515 DXD851977:DXD852051 DXD917513:DXD917587 DXD983049:DXD983123 EGZ8:EGZ83 EGZ65545:EGZ65619 EGZ131081:EGZ131155 EGZ196617:EGZ196691 EGZ262153:EGZ262227 EGZ327689:EGZ327763 EGZ393225:EGZ393299 EGZ458761:EGZ458835 EGZ524297:EGZ524371 EGZ589833:EGZ589907 EGZ655369:EGZ655443 EGZ720905:EGZ720979 EGZ786441:EGZ786515 EGZ851977:EGZ852051 EGZ917513:EGZ917587 EGZ983049:EGZ983123 EQV8:EQV83 EQV65545:EQV65619 EQV131081:EQV131155 EQV196617:EQV196691 EQV262153:EQV262227 EQV327689:EQV327763 EQV393225:EQV393299 EQV458761:EQV458835 EQV524297:EQV524371 EQV589833:EQV589907 EQV655369:EQV655443 EQV720905:EQV720979 EQV786441:EQV786515 EQV851977:EQV852051 EQV917513:EQV917587 EQV983049:EQV983123 FAR8:FAR83 FAR65545:FAR65619 FAR131081:FAR131155 FAR196617:FAR196691 FAR262153:FAR262227 FAR327689:FAR327763 FAR393225:FAR393299 FAR458761:FAR458835 FAR524297:FAR524371 FAR589833:FAR589907 FAR655369:FAR655443 FAR720905:FAR720979 FAR786441:FAR786515 FAR851977:FAR852051 FAR917513:FAR917587 FAR983049:FAR983123 FKN8:FKN83 FKN65545:FKN65619 FKN131081:FKN131155 FKN196617:FKN196691 FKN262153:FKN262227 FKN327689:FKN327763 FKN393225:FKN393299 FKN458761:FKN458835 FKN524297:FKN524371 FKN589833:FKN589907 FKN655369:FKN655443 FKN720905:FKN720979 FKN786441:FKN786515 FKN851977:FKN852051 FKN917513:FKN917587 FKN983049:FKN983123 FUJ8:FUJ83 FUJ65545:FUJ65619 FUJ131081:FUJ131155 FUJ196617:FUJ196691 FUJ262153:FUJ262227 FUJ327689:FUJ327763 FUJ393225:FUJ393299 FUJ458761:FUJ458835 FUJ524297:FUJ524371 FUJ589833:FUJ589907 FUJ655369:FUJ655443 FUJ720905:FUJ720979 FUJ786441:FUJ786515 FUJ851977:FUJ852051 FUJ917513:FUJ917587 FUJ983049:FUJ983123 GEF8:GEF83 GEF65545:GEF65619 GEF131081:GEF131155 GEF196617:GEF196691 GEF262153:GEF262227 GEF327689:GEF327763 GEF393225:GEF393299 GEF458761:GEF458835 GEF524297:GEF524371 GEF589833:GEF589907 GEF655369:GEF655443 GEF720905:GEF720979 GEF786441:GEF786515 GEF851977:GEF852051 GEF917513:GEF917587 GEF983049:GEF983123 GOB8:GOB83 GOB65545:GOB65619 GOB131081:GOB131155 GOB196617:GOB196691 GOB262153:GOB262227 GOB327689:GOB327763 GOB393225:GOB393299 GOB458761:GOB458835 GOB524297:GOB524371 GOB589833:GOB589907 GOB655369:GOB655443 GOB720905:GOB720979 GOB786441:GOB786515 GOB851977:GOB852051 GOB917513:GOB917587 GOB983049:GOB983123 GXX8:GXX83 GXX65545:GXX65619 GXX131081:GXX131155 GXX196617:GXX196691 GXX262153:GXX262227 GXX327689:GXX327763 GXX393225:GXX393299 GXX458761:GXX458835 GXX524297:GXX524371 GXX589833:GXX589907 GXX655369:GXX655443 GXX720905:GXX720979 GXX786441:GXX786515 GXX851977:GXX852051 GXX917513:GXX917587 GXX983049:GXX983123 HHT8:HHT83 HHT65545:HHT65619 HHT131081:HHT131155 HHT196617:HHT196691 HHT262153:HHT262227 HHT327689:HHT327763 HHT393225:HHT393299 HHT458761:HHT458835 HHT524297:HHT524371 HHT589833:HHT589907 HHT655369:HHT655443 HHT720905:HHT720979 HHT786441:HHT786515 HHT851977:HHT852051 HHT917513:HHT917587 HHT983049:HHT983123 HRP8:HRP83 HRP65545:HRP65619 HRP131081:HRP131155 HRP196617:HRP196691 HRP262153:HRP262227 HRP327689:HRP327763 HRP393225:HRP393299 HRP458761:HRP458835 HRP524297:HRP524371 HRP589833:HRP589907 HRP655369:HRP655443 HRP720905:HRP720979 HRP786441:HRP786515 HRP851977:HRP852051 HRP917513:HRP917587 HRP983049:HRP983123 IBL8:IBL83 IBL65545:IBL65619 IBL131081:IBL131155 IBL196617:IBL196691 IBL262153:IBL262227 IBL327689:IBL327763 IBL393225:IBL393299 IBL458761:IBL458835 IBL524297:IBL524371 IBL589833:IBL589907 IBL655369:IBL655443 IBL720905:IBL720979 IBL786441:IBL786515 IBL851977:IBL852051 IBL917513:IBL917587 IBL983049:IBL983123 ILH8:ILH83 ILH65545:ILH65619 ILH131081:ILH131155 ILH196617:ILH196691 ILH262153:ILH262227 ILH327689:ILH327763 ILH393225:ILH393299 ILH458761:ILH458835 ILH524297:ILH524371 ILH589833:ILH589907 ILH655369:ILH655443 ILH720905:ILH720979 ILH786441:ILH786515 ILH851977:ILH852051 ILH917513:ILH917587 ILH983049:ILH983123 IVD8:IVD83 IVD65545:IVD65619 IVD131081:IVD131155 IVD196617:IVD196691 IVD262153:IVD262227 IVD327689:IVD327763 IVD393225:IVD393299 IVD458761:IVD458835 IVD524297:IVD524371 IVD589833:IVD589907 IVD655369:IVD655443 IVD720905:IVD720979 IVD786441:IVD786515 IVD851977:IVD852051 IVD917513:IVD917587 IVD983049:IVD983123 JEZ8:JEZ83 JEZ65545:JEZ65619 JEZ131081:JEZ131155 JEZ196617:JEZ196691 JEZ262153:JEZ262227 JEZ327689:JEZ327763 JEZ393225:JEZ393299 JEZ458761:JEZ458835 JEZ524297:JEZ524371 JEZ589833:JEZ589907 JEZ655369:JEZ655443 JEZ720905:JEZ720979 JEZ786441:JEZ786515 JEZ851977:JEZ852051 JEZ917513:JEZ917587 JEZ983049:JEZ983123 JOV8:JOV83 JOV65545:JOV65619 JOV131081:JOV131155 JOV196617:JOV196691 JOV262153:JOV262227 JOV327689:JOV327763 JOV393225:JOV393299 JOV458761:JOV458835 JOV524297:JOV524371 JOV589833:JOV589907 JOV655369:JOV655443 JOV720905:JOV720979 JOV786441:JOV786515 JOV851977:JOV852051 JOV917513:JOV917587 JOV983049:JOV983123 JYR8:JYR83 JYR65545:JYR65619 JYR131081:JYR131155 JYR196617:JYR196691 JYR262153:JYR262227 JYR327689:JYR327763 JYR393225:JYR393299 JYR458761:JYR458835 JYR524297:JYR524371 JYR589833:JYR589907 JYR655369:JYR655443 JYR720905:JYR720979 JYR786441:JYR786515 JYR851977:JYR852051 JYR917513:JYR917587 JYR983049:JYR983123 KIN8:KIN83 KIN65545:KIN65619 KIN131081:KIN131155 KIN196617:KIN196691 KIN262153:KIN262227 KIN327689:KIN327763 KIN393225:KIN393299 KIN458761:KIN458835 KIN524297:KIN524371 KIN589833:KIN589907 KIN655369:KIN655443 KIN720905:KIN720979 KIN786441:KIN786515 KIN851977:KIN852051 KIN917513:KIN917587 KIN983049:KIN983123 KSJ8:KSJ83 KSJ65545:KSJ65619 KSJ131081:KSJ131155 KSJ196617:KSJ196691 KSJ262153:KSJ262227 KSJ327689:KSJ327763 KSJ393225:KSJ393299 KSJ458761:KSJ458835 KSJ524297:KSJ524371 KSJ589833:KSJ589907 KSJ655369:KSJ655443 KSJ720905:KSJ720979 KSJ786441:KSJ786515 KSJ851977:KSJ852051 KSJ917513:KSJ917587 KSJ983049:KSJ983123 LCF8:LCF83 LCF65545:LCF65619 LCF131081:LCF131155 LCF196617:LCF196691 LCF262153:LCF262227 LCF327689:LCF327763 LCF393225:LCF393299 LCF458761:LCF458835 LCF524297:LCF524371 LCF589833:LCF589907 LCF655369:LCF655443 LCF720905:LCF720979 LCF786441:LCF786515 LCF851977:LCF852051 LCF917513:LCF917587 LCF983049:LCF983123 LMB8:LMB83 LMB65545:LMB65619 LMB131081:LMB131155 LMB196617:LMB196691 LMB262153:LMB262227 LMB327689:LMB327763 LMB393225:LMB393299 LMB458761:LMB458835 LMB524297:LMB524371 LMB589833:LMB589907 LMB655369:LMB655443 LMB720905:LMB720979 LMB786441:LMB786515 LMB851977:LMB852051 LMB917513:LMB917587 LMB983049:LMB983123 LVX8:LVX83 LVX65545:LVX65619 LVX131081:LVX131155 LVX196617:LVX196691 LVX262153:LVX262227 LVX327689:LVX327763 LVX393225:LVX393299 LVX458761:LVX458835 LVX524297:LVX524371 LVX589833:LVX589907 LVX655369:LVX655443 LVX720905:LVX720979 LVX786441:LVX786515 LVX851977:LVX852051 LVX917513:LVX917587 LVX983049:LVX983123 MFT8:MFT83 MFT65545:MFT65619 MFT131081:MFT131155 MFT196617:MFT196691 MFT262153:MFT262227 MFT327689:MFT327763 MFT393225:MFT393299 MFT458761:MFT458835 MFT524297:MFT524371 MFT589833:MFT589907 MFT655369:MFT655443 MFT720905:MFT720979 MFT786441:MFT786515 MFT851977:MFT852051 MFT917513:MFT917587 MFT983049:MFT983123 MPP8:MPP83 MPP65545:MPP65619 MPP131081:MPP131155 MPP196617:MPP196691 MPP262153:MPP262227 MPP327689:MPP327763 MPP393225:MPP393299 MPP458761:MPP458835 MPP524297:MPP524371 MPP589833:MPP589907 MPP655369:MPP655443 MPP720905:MPP720979 MPP786441:MPP786515 MPP851977:MPP852051 MPP917513:MPP917587 MPP983049:MPP983123 MZL8:MZL83 MZL65545:MZL65619 MZL131081:MZL131155 MZL196617:MZL196691 MZL262153:MZL262227 MZL327689:MZL327763 MZL393225:MZL393299 MZL458761:MZL458835 MZL524297:MZL524371 MZL589833:MZL589907 MZL655369:MZL655443 MZL720905:MZL720979 MZL786441:MZL786515 MZL851977:MZL852051 MZL917513:MZL917587 MZL983049:MZL983123 NJH8:NJH83 NJH65545:NJH65619 NJH131081:NJH131155 NJH196617:NJH196691 NJH262153:NJH262227 NJH327689:NJH327763 NJH393225:NJH393299 NJH458761:NJH458835 NJH524297:NJH524371 NJH589833:NJH589907 NJH655369:NJH655443 NJH720905:NJH720979 NJH786441:NJH786515 NJH851977:NJH852051 NJH917513:NJH917587 NJH983049:NJH983123 NTD8:NTD83 NTD65545:NTD65619 NTD131081:NTD131155 NTD196617:NTD196691 NTD262153:NTD262227 NTD327689:NTD327763 NTD393225:NTD393299 NTD458761:NTD458835 NTD524297:NTD524371 NTD589833:NTD589907 NTD655369:NTD655443 NTD720905:NTD720979 NTD786441:NTD786515 NTD851977:NTD852051 NTD917513:NTD917587 NTD983049:NTD983123 OCZ8:OCZ83 OCZ65545:OCZ65619 OCZ131081:OCZ131155 OCZ196617:OCZ196691 OCZ262153:OCZ262227 OCZ327689:OCZ327763 OCZ393225:OCZ393299 OCZ458761:OCZ458835 OCZ524297:OCZ524371 OCZ589833:OCZ589907 OCZ655369:OCZ655443 OCZ720905:OCZ720979 OCZ786441:OCZ786515 OCZ851977:OCZ852051 OCZ917513:OCZ917587 OCZ983049:OCZ983123 OMV8:OMV83 OMV65545:OMV65619 OMV131081:OMV131155 OMV196617:OMV196691 OMV262153:OMV262227 OMV327689:OMV327763 OMV393225:OMV393299 OMV458761:OMV458835 OMV524297:OMV524371 OMV589833:OMV589907 OMV655369:OMV655443 OMV720905:OMV720979 OMV786441:OMV786515 OMV851977:OMV852051 OMV917513:OMV917587 OMV983049:OMV983123 OWR8:OWR83 OWR65545:OWR65619 OWR131081:OWR131155 OWR196617:OWR196691 OWR262153:OWR262227 OWR327689:OWR327763 OWR393225:OWR393299 OWR458761:OWR458835 OWR524297:OWR524371 OWR589833:OWR589907 OWR655369:OWR655443 OWR720905:OWR720979 OWR786441:OWR786515 OWR851977:OWR852051 OWR917513:OWR917587 OWR983049:OWR983123 PGN8:PGN83 PGN65545:PGN65619 PGN131081:PGN131155 PGN196617:PGN196691 PGN262153:PGN262227 PGN327689:PGN327763 PGN393225:PGN393299 PGN458761:PGN458835 PGN524297:PGN524371 PGN589833:PGN589907 PGN655369:PGN655443 PGN720905:PGN720979 PGN786441:PGN786515 PGN851977:PGN852051 PGN917513:PGN917587 PGN983049:PGN983123 PQJ8:PQJ83 PQJ65545:PQJ65619 PQJ131081:PQJ131155 PQJ196617:PQJ196691 PQJ262153:PQJ262227 PQJ327689:PQJ327763 PQJ393225:PQJ393299 PQJ458761:PQJ458835 PQJ524297:PQJ524371 PQJ589833:PQJ589907 PQJ655369:PQJ655443 PQJ720905:PQJ720979 PQJ786441:PQJ786515 PQJ851977:PQJ852051 PQJ917513:PQJ917587 PQJ983049:PQJ983123 QAF8:QAF83 QAF65545:QAF65619 QAF131081:QAF131155 QAF196617:QAF196691 QAF262153:QAF262227 QAF327689:QAF327763 QAF393225:QAF393299 QAF458761:QAF458835 QAF524297:QAF524371 QAF589833:QAF589907 QAF655369:QAF655443 QAF720905:QAF720979 QAF786441:QAF786515 QAF851977:QAF852051 QAF917513:QAF917587 QAF983049:QAF983123 QKB8:QKB83 QKB65545:QKB65619 QKB131081:QKB131155 QKB196617:QKB196691 QKB262153:QKB262227 QKB327689:QKB327763 QKB393225:QKB393299 QKB458761:QKB458835 QKB524297:QKB524371 QKB589833:QKB589907 QKB655369:QKB655443 QKB720905:QKB720979 QKB786441:QKB786515 QKB851977:QKB852051 QKB917513:QKB917587 QKB983049:QKB983123 QTX8:QTX83 QTX65545:QTX65619 QTX131081:QTX131155 QTX196617:QTX196691 QTX262153:QTX262227 QTX327689:QTX327763 QTX393225:QTX393299 QTX458761:QTX458835 QTX524297:QTX524371 QTX589833:QTX589907 QTX655369:QTX655443 QTX720905:QTX720979 QTX786441:QTX786515 QTX851977:QTX852051 QTX917513:QTX917587 QTX983049:QTX983123 RDT8:RDT83 RDT65545:RDT65619 RDT131081:RDT131155 RDT196617:RDT196691 RDT262153:RDT262227 RDT327689:RDT327763 RDT393225:RDT393299 RDT458761:RDT458835 RDT524297:RDT524371 RDT589833:RDT589907 RDT655369:RDT655443 RDT720905:RDT720979 RDT786441:RDT786515 RDT851977:RDT852051 RDT917513:RDT917587 RDT983049:RDT983123 RNP8:RNP83 RNP65545:RNP65619 RNP131081:RNP131155 RNP196617:RNP196691 RNP262153:RNP262227 RNP327689:RNP327763 RNP393225:RNP393299 RNP458761:RNP458835 RNP524297:RNP524371 RNP589833:RNP589907 RNP655369:RNP655443 RNP720905:RNP720979 RNP786441:RNP786515 RNP851977:RNP852051 RNP917513:RNP917587 RNP983049:RNP983123 RXL8:RXL83 RXL65545:RXL65619 RXL131081:RXL131155 RXL196617:RXL196691 RXL262153:RXL262227 RXL327689:RXL327763 RXL393225:RXL393299 RXL458761:RXL458835 RXL524297:RXL524371 RXL589833:RXL589907 RXL655369:RXL655443 RXL720905:RXL720979 RXL786441:RXL786515 RXL851977:RXL852051 RXL917513:RXL917587 RXL983049:RXL983123 SHH8:SHH83 SHH65545:SHH65619 SHH131081:SHH131155 SHH196617:SHH196691 SHH262153:SHH262227 SHH327689:SHH327763 SHH393225:SHH393299 SHH458761:SHH458835 SHH524297:SHH524371 SHH589833:SHH589907 SHH655369:SHH655443 SHH720905:SHH720979 SHH786441:SHH786515 SHH851977:SHH852051 SHH917513:SHH917587 SHH983049:SHH983123 SRD8:SRD83 SRD65545:SRD65619 SRD131081:SRD131155 SRD196617:SRD196691 SRD262153:SRD262227 SRD327689:SRD327763 SRD393225:SRD393299 SRD458761:SRD458835 SRD524297:SRD524371 SRD589833:SRD589907 SRD655369:SRD655443 SRD720905:SRD720979 SRD786441:SRD786515 SRD851977:SRD852051 SRD917513:SRD917587 SRD983049:SRD983123 TAZ8:TAZ83 TAZ65545:TAZ65619 TAZ131081:TAZ131155 TAZ196617:TAZ196691 TAZ262153:TAZ262227 TAZ327689:TAZ327763 TAZ393225:TAZ393299 TAZ458761:TAZ458835 TAZ524297:TAZ524371 TAZ589833:TAZ589907 TAZ655369:TAZ655443 TAZ720905:TAZ720979 TAZ786441:TAZ786515 TAZ851977:TAZ852051 TAZ917513:TAZ917587 TAZ983049:TAZ983123 TKV8:TKV83 TKV65545:TKV65619 TKV131081:TKV131155 TKV196617:TKV196691 TKV262153:TKV262227 TKV327689:TKV327763 TKV393225:TKV393299 TKV458761:TKV458835 TKV524297:TKV524371 TKV589833:TKV589907 TKV655369:TKV655443 TKV720905:TKV720979 TKV786441:TKV786515 TKV851977:TKV852051 TKV917513:TKV917587 TKV983049:TKV983123 TUR8:TUR83 TUR65545:TUR65619 TUR131081:TUR131155 TUR196617:TUR196691 TUR262153:TUR262227 TUR327689:TUR327763 TUR393225:TUR393299 TUR458761:TUR458835 TUR524297:TUR524371 TUR589833:TUR589907 TUR655369:TUR655443 TUR720905:TUR720979 TUR786441:TUR786515 TUR851977:TUR852051 TUR917513:TUR917587 TUR983049:TUR983123 UEN8:UEN83 UEN65545:UEN65619 UEN131081:UEN131155 UEN196617:UEN196691 UEN262153:UEN262227 UEN327689:UEN327763 UEN393225:UEN393299 UEN458761:UEN458835 UEN524297:UEN524371 UEN589833:UEN589907 UEN655369:UEN655443 UEN720905:UEN720979 UEN786441:UEN786515 UEN851977:UEN852051 UEN917513:UEN917587 UEN983049:UEN983123 UOJ8:UOJ83 UOJ65545:UOJ65619 UOJ131081:UOJ131155 UOJ196617:UOJ196691 UOJ262153:UOJ262227 UOJ327689:UOJ327763 UOJ393225:UOJ393299 UOJ458761:UOJ458835 UOJ524297:UOJ524371 UOJ589833:UOJ589907 UOJ655369:UOJ655443 UOJ720905:UOJ720979 UOJ786441:UOJ786515 UOJ851977:UOJ852051 UOJ917513:UOJ917587 UOJ983049:UOJ983123 UYF8:UYF83 UYF65545:UYF65619 UYF131081:UYF131155 UYF196617:UYF196691 UYF262153:UYF262227 UYF327689:UYF327763 UYF393225:UYF393299 UYF458761:UYF458835 UYF524297:UYF524371 UYF589833:UYF589907 UYF655369:UYF655443 UYF720905:UYF720979 UYF786441:UYF786515 UYF851977:UYF852051 UYF917513:UYF917587 UYF983049:UYF983123 VIB8:VIB83 VIB65545:VIB65619 VIB131081:VIB131155 VIB196617:VIB196691 VIB262153:VIB262227 VIB327689:VIB327763 VIB393225:VIB393299 VIB458761:VIB458835 VIB524297:VIB524371 VIB589833:VIB589907 VIB655369:VIB655443 VIB720905:VIB720979 VIB786441:VIB786515 VIB851977:VIB852051 VIB917513:VIB917587 VIB983049:VIB983123 VRX8:VRX83 VRX65545:VRX65619 VRX131081:VRX131155 VRX196617:VRX196691 VRX262153:VRX262227 VRX327689:VRX327763 VRX393225:VRX393299 VRX458761:VRX458835 VRX524297:VRX524371 VRX589833:VRX589907 VRX655369:VRX655443 VRX720905:VRX720979 VRX786441:VRX786515 VRX851977:VRX852051 VRX917513:VRX917587 VRX983049:VRX983123 WBT8:WBT83 WBT65545:WBT65619 WBT131081:WBT131155 WBT196617:WBT196691 WBT262153:WBT262227 WBT327689:WBT327763 WBT393225:WBT393299 WBT458761:WBT458835 WBT524297:WBT524371 WBT589833:WBT589907 WBT655369:WBT655443 WBT720905:WBT720979 WBT786441:WBT786515 WBT851977:WBT852051 WBT917513:WBT917587 WBT983049:WBT983123 WLP8:WLP83 WLP65545:WLP65619 WLP131081:WLP131155 WLP196617:WLP196691 WLP262153:WLP262227 WLP327689:WLP327763 WLP393225:WLP393299 WLP458761:WLP458835 WLP524297:WLP524371 WLP589833:WLP589907 WLP655369:WLP655443 WLP720905:WLP720979 WLP786441:WLP786515 WLP851977:WLP852051 WLP917513:WLP917587 WLP983049:WLP983123 WVL8:WVL83 WVL65545:WVL65619 WVL131081:WVL131155 WVL196617:WVL196691 WVL262153:WVL262227 WVL327689:WVL327763 WVL393225:WVL393299 WVL458761:WVL458835 WVL524297:WVL524371 WVL589833:WVL589907 WVL655369:WVL655443 WVL720905:WVL720979 WVL786441:WVL786515 WVL851977:WVL852051 WVL917513:WVL917587 WVL983049:WVL983123">
      <formula1>"采购,环境,前期,施工,土地,营销,其它"</formula1>
    </dataValidation>
  </dataValidations>
  <pageMargins left="0.699305555555556" right="0.699305555555556" top="0.75" bottom="0.75" header="0.3" footer="0.3"/>
  <pageSetup paperSize="9"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0"/>
  <sheetViews>
    <sheetView workbookViewId="0">
      <selection activeCell="E2" sqref="E2:E3"/>
    </sheetView>
  </sheetViews>
  <sheetFormatPr defaultColWidth="9" defaultRowHeight="15.75" outlineLevelCol="7"/>
  <cols>
    <col min="1" max="1" width="4.6" customWidth="1"/>
    <col min="2" max="2" width="15.9" style="400" customWidth="1"/>
    <col min="3" max="3" width="21.1" customWidth="1"/>
    <col min="4" max="4" width="21.6" style="401" customWidth="1"/>
    <col min="5" max="5" width="18.6" style="401" customWidth="1"/>
    <col min="6" max="6" width="15" customWidth="1"/>
    <col min="7" max="7" width="15.9" customWidth="1"/>
    <col min="8" max="8" width="16.5" customWidth="1"/>
    <col min="9" max="9" width="15.4" customWidth="1"/>
    <col min="10" max="11" width="13.1" customWidth="1"/>
    <col min="13" max="15" width="10.5" customWidth="1"/>
    <col min="16" max="16" width="13.1" customWidth="1"/>
    <col min="18" max="18" width="17.4" customWidth="1"/>
  </cols>
  <sheetData>
    <row r="1" ht="18" spans="1:7">
      <c r="A1" s="402" t="s">
        <v>2166</v>
      </c>
      <c r="B1" s="402"/>
      <c r="C1" s="402"/>
      <c r="D1" s="402"/>
      <c r="E1" s="402"/>
      <c r="F1" s="402"/>
      <c r="G1" s="402"/>
    </row>
    <row r="2" spans="1:7">
      <c r="A2" s="403" t="s">
        <v>21</v>
      </c>
      <c r="B2" s="403" t="s">
        <v>1453</v>
      </c>
      <c r="C2" s="403" t="s">
        <v>2167</v>
      </c>
      <c r="D2" s="403" t="s">
        <v>605</v>
      </c>
      <c r="E2" s="404" t="s">
        <v>2168</v>
      </c>
      <c r="F2" s="404" t="s">
        <v>2169</v>
      </c>
      <c r="G2" s="405" t="s">
        <v>2170</v>
      </c>
    </row>
    <row r="3" spans="1:7">
      <c r="A3" s="403"/>
      <c r="B3" s="403"/>
      <c r="C3" s="403"/>
      <c r="D3" s="403"/>
      <c r="E3" s="406"/>
      <c r="F3" s="406"/>
      <c r="G3" s="405"/>
    </row>
    <row r="4" spans="1:7">
      <c r="A4" s="407">
        <v>1</v>
      </c>
      <c r="B4" s="408" t="str">
        <f>'[10]高层住宅（27）'!D11</f>
        <v>传统混凝土</v>
      </c>
      <c r="C4" s="408" t="s">
        <v>2171</v>
      </c>
      <c r="D4" s="408" t="s">
        <v>774</v>
      </c>
      <c r="E4" s="409">
        <v>450</v>
      </c>
      <c r="F4" s="410">
        <v>450</v>
      </c>
      <c r="G4" s="408" t="s">
        <v>2172</v>
      </c>
    </row>
    <row r="5" spans="1:7">
      <c r="A5" s="407">
        <v>2</v>
      </c>
      <c r="B5" s="408" t="str">
        <f>'[10]高层住宅（27）'!D13</f>
        <v>钢筋</v>
      </c>
      <c r="C5" s="408" t="s">
        <v>2171</v>
      </c>
      <c r="D5" s="408" t="s">
        <v>774</v>
      </c>
      <c r="E5" s="409">
        <v>6</v>
      </c>
      <c r="F5" s="410">
        <v>6</v>
      </c>
      <c r="G5" s="408" t="s">
        <v>2173</v>
      </c>
    </row>
    <row r="6" spans="1:7">
      <c r="A6" s="407">
        <v>3</v>
      </c>
      <c r="B6" s="408" t="str">
        <f>'[10]高层住宅（27）'!D14</f>
        <v>模板</v>
      </c>
      <c r="C6" s="408" t="s">
        <v>2171</v>
      </c>
      <c r="D6" s="408" t="s">
        <v>774</v>
      </c>
      <c r="E6" s="409">
        <v>50</v>
      </c>
      <c r="F6" s="410">
        <v>50</v>
      </c>
      <c r="G6" s="408" t="s">
        <v>2174</v>
      </c>
    </row>
    <row r="7" spans="1:7">
      <c r="A7" s="407">
        <v>4</v>
      </c>
      <c r="B7" s="408" t="str">
        <f>'[10]高层住宅（27）'!D14</f>
        <v>模板</v>
      </c>
      <c r="C7" s="408" t="s">
        <v>1957</v>
      </c>
      <c r="D7" s="408" t="s">
        <v>774</v>
      </c>
      <c r="E7" s="409">
        <v>42</v>
      </c>
      <c r="F7" s="410">
        <v>42</v>
      </c>
      <c r="G7" s="408" t="s">
        <v>2174</v>
      </c>
    </row>
    <row r="8" spans="1:7">
      <c r="A8" s="407">
        <v>5</v>
      </c>
      <c r="B8" s="408" t="str">
        <f>'[10]高层住宅（27）'!D16</f>
        <v>传统砌筑</v>
      </c>
      <c r="C8" s="408" t="s">
        <v>2171</v>
      </c>
      <c r="D8" s="408" t="s">
        <v>774</v>
      </c>
      <c r="E8" s="409">
        <v>500</v>
      </c>
      <c r="F8" s="410">
        <v>500</v>
      </c>
      <c r="G8" s="408" t="s">
        <v>2175</v>
      </c>
    </row>
    <row r="9" spans="1:7">
      <c r="A9" s="407">
        <v>6</v>
      </c>
      <c r="B9" s="408" t="str">
        <f>'[10]高层住宅（27）'!D20</f>
        <v>水泥砂浆楼地面</v>
      </c>
      <c r="C9" s="408" t="s">
        <v>2171</v>
      </c>
      <c r="D9" s="408" t="s">
        <v>774</v>
      </c>
      <c r="E9" s="409">
        <v>13</v>
      </c>
      <c r="F9" s="410">
        <v>13</v>
      </c>
      <c r="G9" s="411" t="s">
        <v>2176</v>
      </c>
    </row>
    <row r="10" spans="1:7">
      <c r="A10" s="407">
        <v>7</v>
      </c>
      <c r="B10" s="408" t="str">
        <f>'[10]高层住宅（27）'!D20</f>
        <v>水泥砂浆楼地面</v>
      </c>
      <c r="C10" s="408" t="s">
        <v>1957</v>
      </c>
      <c r="D10" s="408" t="s">
        <v>774</v>
      </c>
      <c r="E10" s="409">
        <v>100</v>
      </c>
      <c r="F10" s="410">
        <v>100</v>
      </c>
      <c r="G10" s="412"/>
    </row>
    <row r="11" spans="1:7">
      <c r="A11" s="407">
        <v>8</v>
      </c>
      <c r="B11" s="408" t="str">
        <f>'[10]高层住宅（27）'!D21</f>
        <v>室内墙面抹面</v>
      </c>
      <c r="C11" s="408" t="s">
        <v>2171</v>
      </c>
      <c r="D11" s="408" t="s">
        <v>774</v>
      </c>
      <c r="E11" s="409">
        <v>25</v>
      </c>
      <c r="F11" s="410">
        <v>25</v>
      </c>
      <c r="G11" s="412"/>
    </row>
    <row r="12" spans="1:7">
      <c r="A12" s="407">
        <v>9</v>
      </c>
      <c r="B12" s="408" t="str">
        <f>'[10]高层住宅（27）'!D22</f>
        <v>室外墙面抹面</v>
      </c>
      <c r="C12" s="408" t="s">
        <v>2171</v>
      </c>
      <c r="D12" s="408" t="s">
        <v>774</v>
      </c>
      <c r="E12" s="409">
        <v>35</v>
      </c>
      <c r="F12" s="410">
        <v>35</v>
      </c>
      <c r="G12" s="413"/>
    </row>
    <row r="13" spans="1:7">
      <c r="A13" s="414"/>
      <c r="B13" s="401"/>
      <c r="C13" s="401"/>
      <c r="E13" s="415"/>
      <c r="F13" s="415"/>
      <c r="G13" s="416"/>
    </row>
    <row r="14" ht="18" spans="1:6">
      <c r="A14" s="402" t="s">
        <v>2177</v>
      </c>
      <c r="B14" s="402"/>
      <c r="C14" s="402"/>
      <c r="D14" s="402"/>
      <c r="E14" s="402"/>
      <c r="F14" s="402"/>
    </row>
    <row r="15" spans="1:6">
      <c r="A15" s="417" t="s">
        <v>21</v>
      </c>
      <c r="B15" s="417" t="s">
        <v>1334</v>
      </c>
      <c r="C15" s="408" t="s">
        <v>2178</v>
      </c>
      <c r="D15" s="408" t="s">
        <v>2179</v>
      </c>
      <c r="E15" s="408" t="s">
        <v>2180</v>
      </c>
      <c r="F15" s="408" t="s">
        <v>398</v>
      </c>
    </row>
    <row r="16" spans="1:6">
      <c r="A16" s="417">
        <v>1</v>
      </c>
      <c r="B16" s="418" t="s">
        <v>2181</v>
      </c>
      <c r="C16" s="419">
        <v>274</v>
      </c>
      <c r="D16" s="420">
        <v>274</v>
      </c>
      <c r="E16" s="421">
        <f>IF(ISERROR(AVERAGE(C16:C20)/AVERAGE(D16:D20)-1),"",AVERAGE(C16:C20)/AVERAGE(D16:D20)-1)</f>
        <v>0</v>
      </c>
      <c r="F16" s="422" t="s">
        <v>2182</v>
      </c>
    </row>
    <row r="17" spans="1:6">
      <c r="A17" s="417">
        <v>2</v>
      </c>
      <c r="B17" s="418" t="s">
        <v>2183</v>
      </c>
      <c r="C17" s="419">
        <v>278</v>
      </c>
      <c r="D17" s="420">
        <v>278</v>
      </c>
      <c r="E17" s="423"/>
      <c r="F17" s="424"/>
    </row>
    <row r="18" spans="1:6">
      <c r="A18" s="417">
        <v>3</v>
      </c>
      <c r="B18" s="418" t="s">
        <v>2184</v>
      </c>
      <c r="C18" s="419">
        <v>260</v>
      </c>
      <c r="D18" s="420">
        <v>260</v>
      </c>
      <c r="E18" s="423"/>
      <c r="F18" s="424"/>
    </row>
    <row r="19" spans="1:6">
      <c r="A19" s="417">
        <v>4</v>
      </c>
      <c r="B19" s="418" t="s">
        <v>2185</v>
      </c>
      <c r="C19" s="419">
        <v>278</v>
      </c>
      <c r="D19" s="420">
        <v>278</v>
      </c>
      <c r="E19" s="423"/>
      <c r="F19" s="424"/>
    </row>
    <row r="20" spans="1:6">
      <c r="A20" s="417">
        <v>5</v>
      </c>
      <c r="B20" s="418" t="s">
        <v>2186</v>
      </c>
      <c r="C20" s="419">
        <v>278</v>
      </c>
      <c r="D20" s="420">
        <v>278</v>
      </c>
      <c r="E20" s="425"/>
      <c r="F20" s="426"/>
    </row>
    <row r="21" spans="1:6">
      <c r="A21" s="417">
        <v>6</v>
      </c>
      <c r="B21" s="418" t="s">
        <v>2187</v>
      </c>
      <c r="C21" s="419">
        <v>5.22</v>
      </c>
      <c r="D21" s="420">
        <v>5.22</v>
      </c>
      <c r="E21" s="417">
        <f>IF(ISERROR(C21/D21-1),"",C21/D21-1)</f>
        <v>0</v>
      </c>
      <c r="F21" s="408" t="s">
        <v>2188</v>
      </c>
    </row>
    <row r="22" spans="1:6">
      <c r="A22" s="400"/>
      <c r="C22" s="427"/>
      <c r="D22" s="427"/>
      <c r="E22" s="400"/>
      <c r="F22" s="414"/>
    </row>
    <row r="23" ht="18" spans="1:8">
      <c r="A23" s="402" t="s">
        <v>2189</v>
      </c>
      <c r="B23" s="402"/>
      <c r="C23" s="402"/>
      <c r="D23" s="402"/>
      <c r="E23" s="402"/>
      <c r="F23" s="402"/>
      <c r="G23" s="402"/>
      <c r="H23" s="402"/>
    </row>
    <row r="24" ht="22.5" spans="1:8">
      <c r="A24" s="417" t="s">
        <v>21</v>
      </c>
      <c r="B24" s="417" t="s">
        <v>1334</v>
      </c>
      <c r="C24" s="417" t="s">
        <v>2190</v>
      </c>
      <c r="D24" s="417" t="s">
        <v>2191</v>
      </c>
      <c r="E24" s="428" t="s">
        <v>2192</v>
      </c>
      <c r="F24" s="408" t="s">
        <v>2193</v>
      </c>
      <c r="G24" s="408" t="s">
        <v>2194</v>
      </c>
      <c r="H24" s="429" t="s">
        <v>398</v>
      </c>
    </row>
    <row r="25" spans="1:8">
      <c r="A25" s="430"/>
      <c r="B25" s="430"/>
      <c r="C25" s="417" t="s">
        <v>2195</v>
      </c>
      <c r="D25" s="417" t="s">
        <v>2196</v>
      </c>
      <c r="E25" s="417" t="s">
        <v>2197</v>
      </c>
      <c r="F25" s="417" t="s">
        <v>2198</v>
      </c>
      <c r="G25" s="417" t="s">
        <v>2199</v>
      </c>
      <c r="H25" s="431" t="s">
        <v>2200</v>
      </c>
    </row>
    <row r="26" customHeight="1" spans="1:8">
      <c r="A26" s="417">
        <v>1</v>
      </c>
      <c r="B26" s="408" t="s">
        <v>2201</v>
      </c>
      <c r="C26" s="408">
        <f>IF(ISERROR(D26*E26),"",D26*E26)</f>
        <v>5667.54008692448</v>
      </c>
      <c r="D26" s="432">
        <v>0.15</v>
      </c>
      <c r="E26" s="433">
        <v>37783.6005794966</v>
      </c>
      <c r="F26" s="408">
        <f>E16</f>
        <v>0</v>
      </c>
      <c r="G26" s="408">
        <f>IF(ISERROR(C26*F26),"",C26*F26)</f>
        <v>0</v>
      </c>
      <c r="H26" s="434"/>
    </row>
    <row r="27" ht="20.25" customHeight="1" spans="1:8">
      <c r="A27" s="417">
        <v>2</v>
      </c>
      <c r="B27" s="408" t="s">
        <v>2202</v>
      </c>
      <c r="C27" s="408">
        <f>IF(ISERROR(D27*E27),"",D27*E27)</f>
        <v>1889.18002897483</v>
      </c>
      <c r="D27" s="432">
        <v>0.05</v>
      </c>
      <c r="E27" s="433">
        <v>37783.6005794966</v>
      </c>
      <c r="F27" s="408">
        <f>E21</f>
        <v>0</v>
      </c>
      <c r="G27" s="408">
        <f>IF(ISERROR(C27*F27),"",C27*F27)</f>
        <v>0</v>
      </c>
      <c r="H27" s="435"/>
    </row>
    <row r="28" spans="1:7">
      <c r="A28" s="414"/>
      <c r="B28" s="401"/>
      <c r="C28" s="401"/>
      <c r="D28" s="427"/>
      <c r="E28" s="427"/>
      <c r="F28" s="401"/>
      <c r="G28" s="414"/>
    </row>
    <row r="29" ht="18" spans="1:6">
      <c r="A29" s="402" t="s">
        <v>2203</v>
      </c>
      <c r="B29" s="402"/>
      <c r="C29" s="402"/>
      <c r="D29" s="402"/>
      <c r="E29" s="402"/>
      <c r="F29" s="402"/>
    </row>
    <row r="30" spans="1:6">
      <c r="A30" s="407"/>
      <c r="B30" s="417" t="s">
        <v>2204</v>
      </c>
      <c r="C30" s="408" t="s">
        <v>2205</v>
      </c>
      <c r="D30" s="408" t="s">
        <v>2206</v>
      </c>
      <c r="E30" s="408" t="s">
        <v>2207</v>
      </c>
      <c r="F30" s="408" t="s">
        <v>398</v>
      </c>
    </row>
    <row r="31" spans="1:6">
      <c r="A31" s="407"/>
      <c r="B31" s="436">
        <v>8209.7358833487</v>
      </c>
      <c r="C31" s="437" t="s">
        <v>261</v>
      </c>
      <c r="D31" s="437">
        <f>IF(ISERROR(成本汇总!AQ47+G26+G27),"",成本汇总!AQ47+G26+G27)</f>
        <v>15584.0326471722</v>
      </c>
      <c r="E31" s="437">
        <f>IF(ISERROR(D31/[10]二期规划指标!I26*10000),"",D31/[10]二期规划指标!I26*10000)</f>
        <v>1562.10013088698</v>
      </c>
      <c r="F31" s="437" t="s">
        <v>2208</v>
      </c>
    </row>
    <row r="32" spans="3:3">
      <c r="C32" s="401"/>
    </row>
    <row r="33" customFormat="1" spans="1:4">
      <c r="A33" s="438" t="s">
        <v>2006</v>
      </c>
      <c r="B33" s="400"/>
      <c r="D33" s="401"/>
    </row>
    <row r="34" customFormat="1" spans="1:4">
      <c r="A34" s="438"/>
      <c r="B34" s="439" t="s">
        <v>2209</v>
      </c>
      <c r="C34" s="439"/>
      <c r="D34" s="439"/>
    </row>
    <row r="35" customFormat="1" spans="2:4">
      <c r="B35" s="440" t="s">
        <v>2210</v>
      </c>
      <c r="C35" s="440"/>
      <c r="D35" s="440"/>
    </row>
    <row r="36" customFormat="1" spans="2:4">
      <c r="B36" s="439" t="s">
        <v>2211</v>
      </c>
      <c r="C36" s="439"/>
      <c r="D36" s="439"/>
    </row>
    <row r="37" customFormat="1" spans="2:4">
      <c r="B37" s="440" t="s">
        <v>2212</v>
      </c>
      <c r="C37" s="440"/>
      <c r="D37" s="440"/>
    </row>
    <row r="38" customFormat="1" spans="2:4">
      <c r="B38" s="440" t="s">
        <v>2213</v>
      </c>
      <c r="C38" s="440"/>
      <c r="D38" s="440"/>
    </row>
    <row r="39" customFormat="1" spans="2:4">
      <c r="B39" s="440" t="s">
        <v>2214</v>
      </c>
      <c r="C39" s="440">
        <v>5</v>
      </c>
      <c r="D39" s="440"/>
    </row>
    <row r="40" customFormat="1" spans="2:4">
      <c r="B40" s="440"/>
      <c r="C40" s="440"/>
      <c r="D40" s="440"/>
    </row>
  </sheetData>
  <mergeCells count="21">
    <mergeCell ref="A1:G1"/>
    <mergeCell ref="A14:F14"/>
    <mergeCell ref="A23:H23"/>
    <mergeCell ref="A29:F29"/>
    <mergeCell ref="B34:D34"/>
    <mergeCell ref="B35:D35"/>
    <mergeCell ref="B36:D36"/>
    <mergeCell ref="B37:D37"/>
    <mergeCell ref="B38:D38"/>
    <mergeCell ref="B39:D39"/>
    <mergeCell ref="B40:D40"/>
    <mergeCell ref="A2:A3"/>
    <mergeCell ref="B2:B3"/>
    <mergeCell ref="C2:C3"/>
    <mergeCell ref="D2:D3"/>
    <mergeCell ref="E2:E3"/>
    <mergeCell ref="E16:E20"/>
    <mergeCell ref="F2:F3"/>
    <mergeCell ref="F16:F20"/>
    <mergeCell ref="G9:G12"/>
    <mergeCell ref="H25:H27"/>
  </mergeCells>
  <conditionalFormatting sqref="E2:F2">
    <cfRule type="duplicateValues" dxfId="860" priority="2"/>
  </conditionalFormatting>
  <conditionalFormatting sqref="G2:G3">
    <cfRule type="duplicateValues" dxfId="861" priority="1"/>
  </conditionalFormatting>
  <pageMargins left="0.699305555555556" right="0.699305555555556" top="0.75" bottom="0.75" header="0.3" footer="0.3"/>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3"/>
  <sheetViews>
    <sheetView workbookViewId="0">
      <selection activeCell="D12" sqref="D12"/>
    </sheetView>
  </sheetViews>
  <sheetFormatPr defaultColWidth="9" defaultRowHeight="12"/>
  <cols>
    <col min="1" max="1" width="5" style="396" customWidth="1"/>
    <col min="2" max="2" width="94.6" style="396" customWidth="1"/>
    <col min="3" max="4" width="6.6" style="396" customWidth="1"/>
    <col min="5" max="16384" width="9" style="396"/>
  </cols>
  <sheetData>
    <row r="1" ht="22.5" spans="1:10">
      <c r="A1" s="397"/>
      <c r="B1" s="397" t="s">
        <v>2215</v>
      </c>
      <c r="C1" s="397"/>
      <c r="D1" s="397"/>
      <c r="E1" s="397"/>
      <c r="F1" s="397"/>
      <c r="G1" s="397"/>
      <c r="H1" s="397"/>
      <c r="I1" s="397"/>
      <c r="J1" s="397"/>
    </row>
    <row r="2" s="395" customFormat="1" ht="18.75" customHeight="1" spans="1:10">
      <c r="A2" s="398" t="s">
        <v>2216</v>
      </c>
      <c r="B2" s="399" t="s">
        <v>2217</v>
      </c>
      <c r="C2" s="398"/>
      <c r="D2" s="398"/>
      <c r="E2" s="398"/>
      <c r="F2" s="398"/>
      <c r="G2" s="398"/>
      <c r="H2" s="398"/>
      <c r="I2" s="398"/>
      <c r="J2" s="398"/>
    </row>
    <row r="3" s="395" customFormat="1" ht="50.25" customHeight="1" spans="1:10">
      <c r="A3" s="398" t="s">
        <v>2218</v>
      </c>
      <c r="B3" s="399" t="s">
        <v>2219</v>
      </c>
      <c r="C3" s="398"/>
      <c r="D3" s="398"/>
      <c r="E3" s="398"/>
      <c r="F3" s="398"/>
      <c r="G3" s="398"/>
      <c r="H3" s="398"/>
      <c r="I3" s="398"/>
      <c r="J3" s="398"/>
    </row>
    <row r="4" s="395" customFormat="1" ht="33.9" customHeight="1" spans="1:10">
      <c r="A4" s="398" t="s">
        <v>2220</v>
      </c>
      <c r="B4" s="399" t="s">
        <v>2221</v>
      </c>
      <c r="C4" s="398"/>
      <c r="D4" s="398"/>
      <c r="E4" s="398"/>
      <c r="F4" s="398"/>
      <c r="G4" s="398"/>
      <c r="H4" s="398"/>
      <c r="I4" s="398"/>
      <c r="J4" s="398"/>
    </row>
    <row r="5" s="395" customFormat="1" ht="18.6" customHeight="1" spans="1:10">
      <c r="A5" s="398" t="s">
        <v>2222</v>
      </c>
      <c r="B5" s="399" t="s">
        <v>2223</v>
      </c>
      <c r="C5" s="398"/>
      <c r="D5" s="398"/>
      <c r="E5" s="398"/>
      <c r="F5" s="398"/>
      <c r="G5" s="398"/>
      <c r="H5" s="398"/>
      <c r="I5" s="398"/>
      <c r="J5" s="398"/>
    </row>
    <row r="6" s="395" customFormat="1" ht="35.25" customHeight="1" spans="1:10">
      <c r="A6" s="398" t="s">
        <v>2224</v>
      </c>
      <c r="B6" s="399" t="s">
        <v>2225</v>
      </c>
      <c r="C6" s="398"/>
      <c r="D6" s="398"/>
      <c r="E6" s="398"/>
      <c r="F6" s="398"/>
      <c r="G6" s="398"/>
      <c r="H6" s="398"/>
      <c r="I6" s="398"/>
      <c r="J6" s="398"/>
    </row>
    <row r="7" s="395" customFormat="1" ht="33.9" customHeight="1" spans="1:10">
      <c r="A7" s="398" t="s">
        <v>2226</v>
      </c>
      <c r="B7" s="399" t="s">
        <v>2227</v>
      </c>
      <c r="C7" s="398"/>
      <c r="D7" s="398"/>
      <c r="E7" s="398"/>
      <c r="F7" s="398"/>
      <c r="G7" s="398"/>
      <c r="H7" s="398"/>
      <c r="I7" s="398"/>
      <c r="J7" s="398"/>
    </row>
    <row r="8" s="395" customFormat="1" ht="33.9" customHeight="1" spans="1:10">
      <c r="A8" s="398" t="s">
        <v>2228</v>
      </c>
      <c r="B8" s="399" t="s">
        <v>2229</v>
      </c>
      <c r="C8" s="398"/>
      <c r="D8" s="398"/>
      <c r="E8" s="398"/>
      <c r="F8" s="398"/>
      <c r="G8" s="398"/>
      <c r="H8" s="398"/>
      <c r="I8" s="398"/>
      <c r="J8" s="398"/>
    </row>
    <row r="9" s="395" customFormat="1" ht="20.25" customHeight="1" spans="1:10">
      <c r="A9" s="398" t="s">
        <v>2230</v>
      </c>
      <c r="B9" s="399" t="s">
        <v>2231</v>
      </c>
      <c r="C9" s="398"/>
      <c r="D9" s="398"/>
      <c r="E9" s="398"/>
      <c r="F9" s="398"/>
      <c r="G9" s="398"/>
      <c r="H9" s="398"/>
      <c r="I9" s="398"/>
      <c r="J9" s="398"/>
    </row>
    <row r="10" s="395" customFormat="1" ht="28.5" spans="1:2">
      <c r="A10" s="398" t="s">
        <v>2232</v>
      </c>
      <c r="B10" s="395" t="s">
        <v>2233</v>
      </c>
    </row>
    <row r="11" s="395" customFormat="1" ht="65.25" customHeight="1" spans="1:2">
      <c r="A11" s="398" t="s">
        <v>2234</v>
      </c>
      <c r="B11" s="395" t="s">
        <v>2235</v>
      </c>
    </row>
    <row r="12" s="395" customFormat="1" ht="21" customHeight="1" spans="1:2">
      <c r="A12" s="398" t="s">
        <v>2236</v>
      </c>
      <c r="B12" s="395" t="s">
        <v>2237</v>
      </c>
    </row>
    <row r="13" s="395" customFormat="1" ht="18.6" customHeight="1" spans="1:2">
      <c r="A13" s="398" t="s">
        <v>2238</v>
      </c>
      <c r="B13" s="395" t="s">
        <v>2239</v>
      </c>
    </row>
  </sheetData>
  <pageMargins left="0.75" right="0.75" top="1" bottom="1" header="0.5" footer="0.5"/>
  <pageSetup paperSize="9" orientation="portrait"/>
  <headerFooter alignWithMargins="0"/>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3"/>
  <sheetViews>
    <sheetView workbookViewId="0">
      <selection activeCell="A13" sqref="$A2:$XFD13"/>
    </sheetView>
  </sheetViews>
  <sheetFormatPr defaultColWidth="9" defaultRowHeight="12"/>
  <cols>
    <col min="1" max="1" width="5" style="396" customWidth="1"/>
    <col min="2" max="2" width="94.6" style="396" customWidth="1"/>
    <col min="3" max="4" width="6.6" style="396" customWidth="1"/>
    <col min="5" max="16384" width="9" style="396"/>
  </cols>
  <sheetData>
    <row r="1" ht="22.5" spans="1:10">
      <c r="A1" s="397"/>
      <c r="B1" s="397" t="s">
        <v>2215</v>
      </c>
      <c r="C1" s="397"/>
      <c r="D1" s="397"/>
      <c r="E1" s="397"/>
      <c r="F1" s="397"/>
      <c r="G1" s="397"/>
      <c r="H1" s="397"/>
      <c r="I1" s="397"/>
      <c r="J1" s="397"/>
    </row>
    <row r="2" s="395" customFormat="1" ht="18.75" customHeight="1" spans="1:10">
      <c r="A2" s="398" t="s">
        <v>2216</v>
      </c>
      <c r="B2" s="399" t="s">
        <v>2217</v>
      </c>
      <c r="C2" s="398"/>
      <c r="D2" s="398"/>
      <c r="E2" s="398"/>
      <c r="F2" s="398"/>
      <c r="G2" s="398"/>
      <c r="H2" s="398"/>
      <c r="I2" s="398"/>
      <c r="J2" s="398"/>
    </row>
    <row r="3" s="395" customFormat="1" ht="50.25" customHeight="1" spans="1:10">
      <c r="A3" s="398" t="s">
        <v>2218</v>
      </c>
      <c r="B3" s="399" t="s">
        <v>2219</v>
      </c>
      <c r="C3" s="398"/>
      <c r="D3" s="398"/>
      <c r="E3" s="398"/>
      <c r="F3" s="398"/>
      <c r="G3" s="398"/>
      <c r="H3" s="398"/>
      <c r="I3" s="398"/>
      <c r="J3" s="398"/>
    </row>
    <row r="4" s="395" customFormat="1" ht="33.9" customHeight="1" spans="1:10">
      <c r="A4" s="398" t="s">
        <v>2220</v>
      </c>
      <c r="B4" s="399" t="s">
        <v>2221</v>
      </c>
      <c r="C4" s="398"/>
      <c r="D4" s="398"/>
      <c r="E4" s="398"/>
      <c r="F4" s="398"/>
      <c r="G4" s="398"/>
      <c r="H4" s="398"/>
      <c r="I4" s="398"/>
      <c r="J4" s="398"/>
    </row>
    <row r="5" s="395" customFormat="1" ht="18.6" customHeight="1" spans="1:10">
      <c r="A5" s="398" t="s">
        <v>2222</v>
      </c>
      <c r="B5" s="399" t="s">
        <v>2223</v>
      </c>
      <c r="C5" s="398"/>
      <c r="D5" s="398"/>
      <c r="E5" s="398"/>
      <c r="F5" s="398"/>
      <c r="G5" s="398"/>
      <c r="H5" s="398"/>
      <c r="I5" s="398"/>
      <c r="J5" s="398"/>
    </row>
    <row r="6" s="395" customFormat="1" ht="35.25" customHeight="1" spans="1:10">
      <c r="A6" s="398" t="s">
        <v>2224</v>
      </c>
      <c r="B6" s="399" t="s">
        <v>2225</v>
      </c>
      <c r="C6" s="398"/>
      <c r="D6" s="398"/>
      <c r="E6" s="398"/>
      <c r="F6" s="398"/>
      <c r="G6" s="398"/>
      <c r="H6" s="398"/>
      <c r="I6" s="398"/>
      <c r="J6" s="398"/>
    </row>
    <row r="7" s="395" customFormat="1" ht="33.9" customHeight="1" spans="1:10">
      <c r="A7" s="398" t="s">
        <v>2226</v>
      </c>
      <c r="B7" s="399" t="s">
        <v>2227</v>
      </c>
      <c r="C7" s="398"/>
      <c r="D7" s="398"/>
      <c r="E7" s="398"/>
      <c r="F7" s="398"/>
      <c r="G7" s="398"/>
      <c r="H7" s="398"/>
      <c r="I7" s="398"/>
      <c r="J7" s="398"/>
    </row>
    <row r="8" s="395" customFormat="1" ht="33.9" customHeight="1" spans="1:10">
      <c r="A8" s="398" t="s">
        <v>2228</v>
      </c>
      <c r="B8" s="399" t="s">
        <v>2229</v>
      </c>
      <c r="C8" s="398"/>
      <c r="D8" s="398"/>
      <c r="E8" s="398"/>
      <c r="F8" s="398"/>
      <c r="G8" s="398"/>
      <c r="H8" s="398"/>
      <c r="I8" s="398"/>
      <c r="J8" s="398"/>
    </row>
    <row r="9" s="395" customFormat="1" ht="20.25" customHeight="1" spans="1:10">
      <c r="A9" s="398" t="s">
        <v>2230</v>
      </c>
      <c r="B9" s="399" t="s">
        <v>2231</v>
      </c>
      <c r="C9" s="398"/>
      <c r="D9" s="398"/>
      <c r="E9" s="398"/>
      <c r="F9" s="398"/>
      <c r="G9" s="398"/>
      <c r="H9" s="398"/>
      <c r="I9" s="398"/>
      <c r="J9" s="398"/>
    </row>
    <row r="10" s="395" customFormat="1" ht="28.5" spans="1:2">
      <c r="A10" s="398" t="s">
        <v>2232</v>
      </c>
      <c r="B10" s="395" t="s">
        <v>2233</v>
      </c>
    </row>
    <row r="11" s="395" customFormat="1" ht="65.25" customHeight="1" spans="1:2">
      <c r="A11" s="398" t="s">
        <v>2234</v>
      </c>
      <c r="B11" s="395" t="s">
        <v>2235</v>
      </c>
    </row>
    <row r="12" s="395" customFormat="1" ht="21" customHeight="1" spans="1:2">
      <c r="A12" s="398" t="s">
        <v>2236</v>
      </c>
      <c r="B12" s="395" t="s">
        <v>2237</v>
      </c>
    </row>
    <row r="13" s="395" customFormat="1" ht="18.6" customHeight="1" spans="1:2">
      <c r="A13" s="398" t="s">
        <v>2238</v>
      </c>
      <c r="B13" s="395" t="s">
        <v>2239</v>
      </c>
    </row>
  </sheetData>
  <pageMargins left="0.75" right="0.75" top="1" bottom="1" header="0.5" footer="0.5"/>
  <pageSetup paperSize="9" orientation="portrait"/>
  <headerFooter alignWithMargins="0"/>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10"/>
  <sheetViews>
    <sheetView topLeftCell="A57" workbookViewId="0">
      <selection activeCell="D69" sqref="D69"/>
    </sheetView>
  </sheetViews>
  <sheetFormatPr defaultColWidth="9" defaultRowHeight="12"/>
  <cols>
    <col min="1" max="1" width="4.6" style="4" customWidth="1"/>
    <col min="2" max="2" width="24.4" style="4" customWidth="1"/>
    <col min="3" max="3" width="16.1" style="5" customWidth="1"/>
    <col min="4" max="5" width="6.1" style="1" customWidth="1"/>
    <col min="6" max="6" width="7.1" style="1" customWidth="1"/>
    <col min="7" max="7" width="8.1" style="1" customWidth="1"/>
    <col min="8" max="8" width="10.5" style="1" customWidth="1"/>
    <col min="9" max="9" width="8.1" style="1" customWidth="1"/>
    <col min="10" max="11" width="8.1" style="1" hidden="1" customWidth="1"/>
    <col min="12" max="12" width="10" style="1" hidden="1" customWidth="1"/>
    <col min="13" max="13" width="8.1" style="1" hidden="1" customWidth="1"/>
    <col min="14" max="14" width="25.4" style="4" customWidth="1"/>
    <col min="15" max="15" width="6.1" style="4" customWidth="1"/>
    <col min="16" max="16384" width="9" style="4"/>
  </cols>
  <sheetData>
    <row r="1" ht="18.15" customHeight="1" spans="2:6">
      <c r="B1" s="6" t="e">
        <f>#REF!</f>
        <v>#REF!</v>
      </c>
      <c r="C1" s="7" t="s">
        <v>1524</v>
      </c>
      <c r="D1" s="7"/>
      <c r="E1" s="7"/>
      <c r="F1" s="7"/>
    </row>
    <row r="2" s="1" customFormat="1" ht="30" customHeight="1" spans="1:14">
      <c r="A2" s="8" t="s">
        <v>21</v>
      </c>
      <c r="B2" s="9" t="s">
        <v>494</v>
      </c>
      <c r="C2" s="9" t="s">
        <v>606</v>
      </c>
      <c r="D2" s="100" t="s">
        <v>607</v>
      </c>
      <c r="E2" s="100" t="s">
        <v>608</v>
      </c>
      <c r="F2" s="100" t="s">
        <v>609</v>
      </c>
      <c r="G2" s="101" t="s">
        <v>2240</v>
      </c>
      <c r="H2" s="52" t="s">
        <v>2241</v>
      </c>
      <c r="I2" s="9" t="s">
        <v>503</v>
      </c>
      <c r="J2" s="51" t="s">
        <v>2242</v>
      </c>
      <c r="K2" s="52" t="s">
        <v>2243</v>
      </c>
      <c r="L2" s="52" t="s">
        <v>2244</v>
      </c>
      <c r="M2" s="53" t="s">
        <v>2245</v>
      </c>
      <c r="N2" s="54" t="s">
        <v>1300</v>
      </c>
    </row>
    <row r="3" s="2" customFormat="1" ht="18.75" customHeight="1" spans="1:14">
      <c r="A3" s="102" t="s">
        <v>533</v>
      </c>
      <c r="B3" s="103" t="s">
        <v>2246</v>
      </c>
      <c r="C3" s="12"/>
      <c r="D3" s="12"/>
      <c r="E3" s="12"/>
      <c r="F3" s="12"/>
      <c r="G3" s="12"/>
      <c r="H3" s="13" t="e">
        <f>H4+H14+H91+H76+H97</f>
        <v>#REF!</v>
      </c>
      <c r="I3" s="13" t="e">
        <f>IF(H3=0,"",IF(#REF!=0,"",H3*10000/#REF!))</f>
        <v>#REF!</v>
      </c>
      <c r="J3" s="55"/>
      <c r="K3" s="55"/>
      <c r="L3" s="55"/>
      <c r="M3" s="55"/>
      <c r="N3" s="56"/>
    </row>
    <row r="4" s="2" customFormat="1" ht="15" customHeight="1" spans="1:14">
      <c r="A4" s="1825" t="s">
        <v>2247</v>
      </c>
      <c r="B4" s="15" t="s">
        <v>2248</v>
      </c>
      <c r="C4" s="104"/>
      <c r="D4" s="104"/>
      <c r="E4" s="104"/>
      <c r="F4" s="105"/>
      <c r="G4" s="104"/>
      <c r="H4" s="106" t="e">
        <f>H5+H8+H10+H13</f>
        <v>#REF!</v>
      </c>
      <c r="I4" s="106" t="e">
        <f>IF(H4=0,"",IF(#REF!=0,"",H4*10000/#REF!))</f>
        <v>#REF!</v>
      </c>
      <c r="J4" s="130"/>
      <c r="K4" s="130"/>
      <c r="L4" s="130"/>
      <c r="M4" s="130"/>
      <c r="N4" s="131"/>
    </row>
    <row r="5" s="2" customFormat="1" ht="15" customHeight="1" spans="1:14">
      <c r="A5" s="19" t="s">
        <v>622</v>
      </c>
      <c r="B5" s="20" t="s">
        <v>2249</v>
      </c>
      <c r="C5" s="22" t="s">
        <v>505</v>
      </c>
      <c r="D5" s="22"/>
      <c r="E5" s="22"/>
      <c r="F5" s="23"/>
      <c r="G5" s="22"/>
      <c r="H5" s="25" t="e">
        <f>SUM(H6:H7)</f>
        <v>#REF!</v>
      </c>
      <c r="I5" s="25" t="e">
        <f>IF(H5=0,"",IF(#REF!=0,"",H5*10000/#REF!))</f>
        <v>#REF!</v>
      </c>
      <c r="J5" s="59"/>
      <c r="K5" s="59"/>
      <c r="L5" s="59"/>
      <c r="M5" s="59"/>
      <c r="N5" s="58"/>
    </row>
    <row r="6" s="2" customFormat="1" ht="15" customHeight="1" spans="1:14">
      <c r="A6" s="19"/>
      <c r="B6" s="107" t="s">
        <v>2250</v>
      </c>
      <c r="C6" s="65" t="s">
        <v>2251</v>
      </c>
      <c r="D6" s="23">
        <v>6</v>
      </c>
      <c r="E6" s="23"/>
      <c r="F6" s="108" t="e">
        <f>#REF!</f>
        <v>#REF!</v>
      </c>
      <c r="G6" s="23" t="e">
        <f>#REF!</f>
        <v>#REF!</v>
      </c>
      <c r="H6" s="25" t="e">
        <f t="shared" ref="H6:H9" si="0">F6*G6*D6/10000</f>
        <v>#REF!</v>
      </c>
      <c r="I6" s="25"/>
      <c r="J6" s="59"/>
      <c r="K6" s="59"/>
      <c r="L6" s="59"/>
      <c r="M6" s="59"/>
      <c r="N6" s="58"/>
    </row>
    <row r="7" s="2" customFormat="1" ht="15" customHeight="1" spans="1:14">
      <c r="A7" s="19"/>
      <c r="B7" s="107" t="s">
        <v>2252</v>
      </c>
      <c r="C7" s="65" t="s">
        <v>2251</v>
      </c>
      <c r="D7" s="23">
        <v>2</v>
      </c>
      <c r="E7" s="23"/>
      <c r="F7" s="23" t="e">
        <f>F6</f>
        <v>#REF!</v>
      </c>
      <c r="G7" s="23" t="e">
        <f>#REF!</f>
        <v>#REF!</v>
      </c>
      <c r="H7" s="25" t="e">
        <f t="shared" si="0"/>
        <v>#REF!</v>
      </c>
      <c r="I7" s="25"/>
      <c r="J7" s="59"/>
      <c r="K7" s="59"/>
      <c r="L7" s="59"/>
      <c r="M7" s="59"/>
      <c r="N7" s="58"/>
    </row>
    <row r="8" s="2" customFormat="1" ht="15" customHeight="1" spans="1:14">
      <c r="A8" s="19" t="s">
        <v>622</v>
      </c>
      <c r="B8" s="64" t="s">
        <v>833</v>
      </c>
      <c r="C8" s="22" t="s">
        <v>505</v>
      </c>
      <c r="D8" s="23"/>
      <c r="E8" s="23"/>
      <c r="F8" s="23"/>
      <c r="G8" s="23"/>
      <c r="H8" s="25" t="e">
        <f>SUM(H9:H9)</f>
        <v>#REF!</v>
      </c>
      <c r="I8" s="25" t="e">
        <f>IF(H8=0,"",IF(#REF!=0,"",H8*10000/#REF!))</f>
        <v>#REF!</v>
      </c>
      <c r="J8" s="59"/>
      <c r="K8" s="59"/>
      <c r="L8" s="59"/>
      <c r="M8" s="59"/>
      <c r="N8" s="58"/>
    </row>
    <row r="9" s="2" customFormat="1" ht="15" customHeight="1" spans="1:14">
      <c r="A9" s="19"/>
      <c r="B9" s="107" t="s">
        <v>2253</v>
      </c>
      <c r="C9" s="22"/>
      <c r="D9" s="23">
        <v>6</v>
      </c>
      <c r="E9" s="23"/>
      <c r="F9" s="23">
        <v>300</v>
      </c>
      <c r="G9" s="23" t="e">
        <f>#REF!</f>
        <v>#REF!</v>
      </c>
      <c r="H9" s="25" t="e">
        <f t="shared" si="0"/>
        <v>#REF!</v>
      </c>
      <c r="I9" s="25"/>
      <c r="J9" s="59"/>
      <c r="K9" s="59"/>
      <c r="L9" s="59"/>
      <c r="M9" s="59"/>
      <c r="N9" s="58"/>
    </row>
    <row r="10" s="2" customFormat="1" ht="15" customHeight="1" spans="1:14">
      <c r="A10" s="19" t="s">
        <v>622</v>
      </c>
      <c r="B10" s="64" t="s">
        <v>2254</v>
      </c>
      <c r="C10" s="22"/>
      <c r="D10" s="22"/>
      <c r="E10" s="22"/>
      <c r="F10" s="23"/>
      <c r="G10" s="23"/>
      <c r="H10" s="25" t="e">
        <f>SUM(H11:H12)</f>
        <v>#REF!</v>
      </c>
      <c r="I10" s="25" t="e">
        <f>IF(H10=0,"",IF(#REF!=0,"",H10*10000/#REF!))</f>
        <v>#REF!</v>
      </c>
      <c r="J10" s="59"/>
      <c r="K10" s="59"/>
      <c r="L10" s="59"/>
      <c r="M10" s="59"/>
      <c r="N10" s="58"/>
    </row>
    <row r="11" s="2" customFormat="1" ht="15" customHeight="1" spans="1:14">
      <c r="A11" s="19"/>
      <c r="B11" s="107" t="s">
        <v>2255</v>
      </c>
      <c r="C11" s="22" t="s">
        <v>505</v>
      </c>
      <c r="D11" s="23">
        <v>1</v>
      </c>
      <c r="E11" s="23"/>
      <c r="F11" s="23" t="e">
        <f>#REF!</f>
        <v>#REF!</v>
      </c>
      <c r="G11" s="108">
        <v>190</v>
      </c>
      <c r="H11" s="25" t="e">
        <f t="shared" ref="H11:H13" si="1">F11*G11*D11/10000</f>
        <v>#REF!</v>
      </c>
      <c r="I11" s="25"/>
      <c r="J11" s="59"/>
      <c r="K11" s="59"/>
      <c r="L11" s="59"/>
      <c r="M11" s="59"/>
      <c r="N11" s="58"/>
    </row>
    <row r="12" s="2" customFormat="1" ht="15" customHeight="1" spans="1:14">
      <c r="A12" s="19"/>
      <c r="B12" s="107" t="s">
        <v>2256</v>
      </c>
      <c r="C12" s="22" t="s">
        <v>505</v>
      </c>
      <c r="D12" s="23">
        <v>1</v>
      </c>
      <c r="E12" s="23"/>
      <c r="F12" s="23" t="e">
        <f>#REF!</f>
        <v>#REF!</v>
      </c>
      <c r="G12" s="23">
        <v>5</v>
      </c>
      <c r="H12" s="25" t="e">
        <f t="shared" si="1"/>
        <v>#REF!</v>
      </c>
      <c r="I12" s="25"/>
      <c r="J12" s="59"/>
      <c r="K12" s="59"/>
      <c r="L12" s="59"/>
      <c r="M12" s="59"/>
      <c r="N12" s="58"/>
    </row>
    <row r="13" s="2" customFormat="1" ht="15" customHeight="1" spans="1:14">
      <c r="A13" s="19" t="s">
        <v>622</v>
      </c>
      <c r="B13" s="64" t="s">
        <v>849</v>
      </c>
      <c r="C13" s="22" t="s">
        <v>505</v>
      </c>
      <c r="D13" s="23">
        <v>1</v>
      </c>
      <c r="E13" s="23"/>
      <c r="F13" s="23" t="e">
        <f>#REF!</f>
        <v>#REF!</v>
      </c>
      <c r="G13" s="23">
        <v>40</v>
      </c>
      <c r="H13" s="25" t="e">
        <f t="shared" si="1"/>
        <v>#REF!</v>
      </c>
      <c r="I13" s="25" t="e">
        <f>IF(H13=0,"",IF(#REF!=0,"",H13*10000/#REF!))</f>
        <v>#REF!</v>
      </c>
      <c r="J13" s="59"/>
      <c r="K13" s="59"/>
      <c r="L13" s="59"/>
      <c r="M13" s="59"/>
      <c r="N13" s="58"/>
    </row>
    <row r="14" s="2" customFormat="1" ht="15" customHeight="1" spans="1:14">
      <c r="A14" s="1825" t="s">
        <v>2257</v>
      </c>
      <c r="B14" s="15" t="s">
        <v>2258</v>
      </c>
      <c r="C14" s="104"/>
      <c r="D14" s="104"/>
      <c r="E14" s="104"/>
      <c r="F14" s="105"/>
      <c r="G14" s="105"/>
      <c r="H14" s="106" t="e">
        <f>H15+H19+H20+H27+H34+H37+H38</f>
        <v>#REF!</v>
      </c>
      <c r="I14" s="106" t="e">
        <f>IF(H14=0,"",IF(#REF!=0,"",H14*10000/#REF!))</f>
        <v>#REF!</v>
      </c>
      <c r="J14" s="130"/>
      <c r="K14" s="130"/>
      <c r="L14" s="130"/>
      <c r="M14" s="130"/>
      <c r="N14" s="132"/>
    </row>
    <row r="15" s="2" customFormat="1" ht="15" customHeight="1" spans="1:14">
      <c r="A15" s="26" t="s">
        <v>622</v>
      </c>
      <c r="B15" s="1826" t="s">
        <v>2259</v>
      </c>
      <c r="C15" s="22" t="s">
        <v>505</v>
      </c>
      <c r="D15" s="22"/>
      <c r="E15" s="22"/>
      <c r="F15" s="23"/>
      <c r="G15" s="23"/>
      <c r="H15" s="28" t="e">
        <f>SUM(H16:H18)</f>
        <v>#REF!</v>
      </c>
      <c r="I15" s="28" t="e">
        <f>IF(H15=0,"",IF(#REF!=0,"",H15*10000/#REF!))</f>
        <v>#REF!</v>
      </c>
      <c r="J15" s="43"/>
      <c r="K15" s="43"/>
      <c r="L15" s="43"/>
      <c r="M15" s="43"/>
      <c r="N15" s="58"/>
    </row>
    <row r="16" s="2" customFormat="1" ht="15" customHeight="1" spans="1:14">
      <c r="A16" s="26"/>
      <c r="B16" s="1827" t="s">
        <v>1536</v>
      </c>
      <c r="C16" s="22" t="s">
        <v>505</v>
      </c>
      <c r="D16" s="22">
        <v>0.52</v>
      </c>
      <c r="E16" s="22"/>
      <c r="F16" s="23" t="e">
        <f>#REF!</f>
        <v>#REF!</v>
      </c>
      <c r="G16" s="109">
        <v>450</v>
      </c>
      <c r="H16" s="28" t="e">
        <f t="shared" ref="H16:H19" si="2">D16*F16*G16/10000</f>
        <v>#REF!</v>
      </c>
      <c r="I16" s="28"/>
      <c r="J16" s="43"/>
      <c r="K16" s="43"/>
      <c r="L16" s="43"/>
      <c r="M16" s="43"/>
      <c r="N16" s="58"/>
    </row>
    <row r="17" s="2" customFormat="1" ht="15" customHeight="1" spans="1:14">
      <c r="A17" s="26"/>
      <c r="B17" s="1827" t="s">
        <v>1543</v>
      </c>
      <c r="C17" s="22" t="s">
        <v>505</v>
      </c>
      <c r="D17" s="22">
        <v>90</v>
      </c>
      <c r="E17" s="22"/>
      <c r="F17" s="23" t="e">
        <f>#REF!</f>
        <v>#REF!</v>
      </c>
      <c r="G17" s="110" t="e">
        <f>#REF!</f>
        <v>#REF!</v>
      </c>
      <c r="H17" s="28" t="e">
        <f t="shared" si="2"/>
        <v>#REF!</v>
      </c>
      <c r="I17" s="28"/>
      <c r="J17" s="43"/>
      <c r="K17" s="43"/>
      <c r="L17" s="43"/>
      <c r="M17" s="43"/>
      <c r="N17" s="58"/>
    </row>
    <row r="18" s="2" customFormat="1" ht="15" customHeight="1" spans="1:14">
      <c r="A18" s="26"/>
      <c r="B18" s="1827" t="s">
        <v>1550</v>
      </c>
      <c r="C18" s="22" t="s">
        <v>505</v>
      </c>
      <c r="D18" s="22">
        <v>3.5</v>
      </c>
      <c r="E18" s="22"/>
      <c r="F18" s="23" t="e">
        <f>#REF!</f>
        <v>#REF!</v>
      </c>
      <c r="G18" s="109">
        <v>55</v>
      </c>
      <c r="H18" s="28" t="e">
        <f t="shared" si="2"/>
        <v>#REF!</v>
      </c>
      <c r="I18" s="28"/>
      <c r="J18" s="43"/>
      <c r="K18" s="43"/>
      <c r="L18" s="43"/>
      <c r="M18" s="43"/>
      <c r="N18" s="58"/>
    </row>
    <row r="19" s="2" customFormat="1" ht="15" customHeight="1" spans="1:14">
      <c r="A19" s="26" t="s">
        <v>622</v>
      </c>
      <c r="B19" s="1828" t="s">
        <v>1552</v>
      </c>
      <c r="C19" s="22" t="s">
        <v>505</v>
      </c>
      <c r="D19" s="22">
        <v>0.1</v>
      </c>
      <c r="E19" s="22"/>
      <c r="F19" s="23" t="e">
        <f>#REF!</f>
        <v>#REF!</v>
      </c>
      <c r="G19" s="109">
        <v>500</v>
      </c>
      <c r="H19" s="28" t="e">
        <f t="shared" si="2"/>
        <v>#REF!</v>
      </c>
      <c r="I19" s="28" t="e">
        <f>IF(H19=0,"",IF(#REF!=0,"",H19*10000/#REF!))</f>
        <v>#REF!</v>
      </c>
      <c r="J19" s="43"/>
      <c r="K19" s="43"/>
      <c r="L19" s="43"/>
      <c r="M19" s="43"/>
      <c r="N19" s="58"/>
    </row>
    <row r="20" s="2" customFormat="1" ht="15" customHeight="1" spans="1:14">
      <c r="A20" s="26" t="s">
        <v>622</v>
      </c>
      <c r="B20" s="1828" t="s">
        <v>1564</v>
      </c>
      <c r="C20" s="22"/>
      <c r="D20" s="22"/>
      <c r="E20" s="22"/>
      <c r="F20" s="23"/>
      <c r="G20" s="111"/>
      <c r="H20" s="28" t="e">
        <f>SUM(H21:H26)</f>
        <v>#REF!</v>
      </c>
      <c r="I20" s="28" t="e">
        <f>IF(H20=0,"",IF(#REF!=0,"",H20*10000/#REF!))</f>
        <v>#REF!</v>
      </c>
      <c r="J20" s="43"/>
      <c r="K20" s="43"/>
      <c r="L20" s="43"/>
      <c r="M20" s="43"/>
      <c r="N20" s="58"/>
    </row>
    <row r="21" s="2" customFormat="1" ht="15" customHeight="1" spans="1:14">
      <c r="A21" s="26"/>
      <c r="B21" s="34" t="s">
        <v>2260</v>
      </c>
      <c r="C21" s="22" t="s">
        <v>505</v>
      </c>
      <c r="D21" s="40">
        <f>高层18!D16</f>
        <v>0.9</v>
      </c>
      <c r="E21" s="40"/>
      <c r="F21" s="23" t="e">
        <f>#REF!</f>
        <v>#REF!</v>
      </c>
      <c r="G21" s="109" t="e">
        <f>#REF!</f>
        <v>#REF!</v>
      </c>
      <c r="H21" s="28" t="e">
        <f t="shared" ref="H21:H26" si="3">F21*G21*D21/10000</f>
        <v>#REF!</v>
      </c>
      <c r="I21" s="28"/>
      <c r="J21" s="43"/>
      <c r="K21" s="43"/>
      <c r="L21" s="43"/>
      <c r="M21" s="43"/>
      <c r="N21" s="58"/>
    </row>
    <row r="22" s="2" customFormat="1" ht="15" customHeight="1" spans="1:14">
      <c r="A22" s="26"/>
      <c r="B22" s="34" t="s">
        <v>2261</v>
      </c>
      <c r="C22" s="22" t="s">
        <v>505</v>
      </c>
      <c r="D22" s="40">
        <v>1.8</v>
      </c>
      <c r="E22" s="40"/>
      <c r="F22" s="23" t="e">
        <f>#REF!</f>
        <v>#REF!</v>
      </c>
      <c r="G22" s="109" t="e">
        <f>#REF!</f>
        <v>#REF!</v>
      </c>
      <c r="H22" s="28" t="e">
        <f t="shared" si="3"/>
        <v>#REF!</v>
      </c>
      <c r="I22" s="28"/>
      <c r="J22" s="43"/>
      <c r="K22" s="43"/>
      <c r="L22" s="43"/>
      <c r="M22" s="43"/>
      <c r="N22" s="58"/>
    </row>
    <row r="23" s="2" customFormat="1" ht="15" customHeight="1" spans="1:14">
      <c r="A23" s="26"/>
      <c r="B23" s="34" t="s">
        <v>2262</v>
      </c>
      <c r="C23" s="22" t="s">
        <v>505</v>
      </c>
      <c r="D23" s="40">
        <f>D25+D26</f>
        <v>1.1</v>
      </c>
      <c r="E23" s="40"/>
      <c r="F23" s="23" t="e">
        <f>#REF!</f>
        <v>#REF!</v>
      </c>
      <c r="G23" s="109" t="e">
        <f>#REF!</f>
        <v>#REF!</v>
      </c>
      <c r="H23" s="28" t="e">
        <f t="shared" si="3"/>
        <v>#REF!</v>
      </c>
      <c r="I23" s="28"/>
      <c r="J23" s="43"/>
      <c r="K23" s="43"/>
      <c r="L23" s="43"/>
      <c r="M23" s="43"/>
      <c r="N23" s="58"/>
    </row>
    <row r="24" s="2" customFormat="1" ht="15" customHeight="1" spans="1:14">
      <c r="A24" s="26"/>
      <c r="B24" s="34" t="s">
        <v>2263</v>
      </c>
      <c r="C24" s="22" t="s">
        <v>505</v>
      </c>
      <c r="D24" s="40">
        <f>高层18!D18</f>
        <v>1.9</v>
      </c>
      <c r="E24" s="40"/>
      <c r="F24" s="23" t="e">
        <f>#REF!</f>
        <v>#REF!</v>
      </c>
      <c r="G24" s="109" t="e">
        <f>#REF!</f>
        <v>#REF!</v>
      </c>
      <c r="H24" s="28" t="e">
        <f t="shared" si="3"/>
        <v>#REF!</v>
      </c>
      <c r="I24" s="28"/>
      <c r="J24" s="43"/>
      <c r="K24" s="43"/>
      <c r="L24" s="43"/>
      <c r="M24" s="43"/>
      <c r="N24" s="58"/>
    </row>
    <row r="25" s="2" customFormat="1" ht="15" customHeight="1" spans="1:14">
      <c r="A25" s="26"/>
      <c r="B25" s="34" t="s">
        <v>2264</v>
      </c>
      <c r="C25" s="22" t="s">
        <v>505</v>
      </c>
      <c r="D25" s="40">
        <v>1.1</v>
      </c>
      <c r="E25" s="40"/>
      <c r="F25" s="23" t="e">
        <f>#REF!</f>
        <v>#REF!</v>
      </c>
      <c r="G25" s="109"/>
      <c r="H25" s="28" t="e">
        <f t="shared" si="3"/>
        <v>#REF!</v>
      </c>
      <c r="I25" s="28"/>
      <c r="J25" s="43"/>
      <c r="K25" s="43"/>
      <c r="L25" s="43"/>
      <c r="M25" s="43"/>
      <c r="N25" s="58"/>
    </row>
    <row r="26" s="2" customFormat="1" ht="15" customHeight="1" spans="1:14">
      <c r="A26" s="26"/>
      <c r="B26" s="34" t="s">
        <v>2265</v>
      </c>
      <c r="C26" s="22" t="s">
        <v>505</v>
      </c>
      <c r="D26" s="40"/>
      <c r="E26" s="40"/>
      <c r="F26" s="23" t="e">
        <f>#REF!</f>
        <v>#REF!</v>
      </c>
      <c r="G26" s="109"/>
      <c r="H26" s="28" t="e">
        <f t="shared" si="3"/>
        <v>#REF!</v>
      </c>
      <c r="I26" s="28"/>
      <c r="J26" s="43"/>
      <c r="K26" s="43"/>
      <c r="L26" s="43"/>
      <c r="M26" s="43"/>
      <c r="N26" s="58"/>
    </row>
    <row r="27" s="2" customFormat="1" ht="15" customHeight="1" spans="1:14">
      <c r="A27" s="26" t="s">
        <v>622</v>
      </c>
      <c r="B27" s="1828" t="s">
        <v>2266</v>
      </c>
      <c r="C27" s="22"/>
      <c r="D27" s="79"/>
      <c r="E27" s="79"/>
      <c r="F27" s="23"/>
      <c r="G27" s="111"/>
      <c r="H27" s="28" t="e">
        <f>SUM(H28:H33)</f>
        <v>#REF!</v>
      </c>
      <c r="I27" s="28" t="e">
        <f>IF(H27=0,"",IF(#REF!=0,"",H27*10000/#REF!))</f>
        <v>#REF!</v>
      </c>
      <c r="J27" s="43"/>
      <c r="K27" s="43"/>
      <c r="L27" s="43"/>
      <c r="M27" s="43"/>
      <c r="N27" s="58"/>
    </row>
    <row r="28" s="2" customFormat="1" ht="15" customHeight="1" spans="1:14">
      <c r="A28" s="26"/>
      <c r="B28" s="34" t="s">
        <v>2267</v>
      </c>
      <c r="C28" s="65" t="s">
        <v>665</v>
      </c>
      <c r="D28" s="40"/>
      <c r="E28" s="112"/>
      <c r="F28" s="23" t="e">
        <f>#REF!</f>
        <v>#REF!</v>
      </c>
      <c r="G28" s="109" t="e">
        <f>#REF!</f>
        <v>#REF!</v>
      </c>
      <c r="H28" s="28" t="e">
        <f t="shared" ref="H28:H33" si="4">F28*G28*D28/10000</f>
        <v>#REF!</v>
      </c>
      <c r="I28" s="28"/>
      <c r="J28" s="43"/>
      <c r="K28" s="43"/>
      <c r="L28" s="43"/>
      <c r="M28" s="43"/>
      <c r="N28" s="58"/>
    </row>
    <row r="29" s="2" customFormat="1" ht="15" customHeight="1" spans="1:14">
      <c r="A29" s="26"/>
      <c r="B29" s="34" t="s">
        <v>2268</v>
      </c>
      <c r="C29" s="65" t="s">
        <v>665</v>
      </c>
      <c r="D29" s="40">
        <v>0.05</v>
      </c>
      <c r="E29" s="112"/>
      <c r="F29" s="23" t="e">
        <f>#REF!</f>
        <v>#REF!</v>
      </c>
      <c r="G29" s="109" t="e">
        <f>#REF!</f>
        <v>#REF!</v>
      </c>
      <c r="H29" s="28" t="e">
        <f t="shared" si="4"/>
        <v>#REF!</v>
      </c>
      <c r="I29" s="28"/>
      <c r="J29" s="43"/>
      <c r="K29" s="43"/>
      <c r="L29" s="43"/>
      <c r="M29" s="43"/>
      <c r="N29" s="58"/>
    </row>
    <row r="30" s="2" customFormat="1" ht="15" customHeight="1" spans="1:14">
      <c r="A30" s="26"/>
      <c r="B30" s="34" t="s">
        <v>2269</v>
      </c>
      <c r="C30" s="65" t="s">
        <v>665</v>
      </c>
      <c r="D30" s="40"/>
      <c r="E30" s="112"/>
      <c r="F30" s="23" t="e">
        <f>#REF!</f>
        <v>#REF!</v>
      </c>
      <c r="G30" s="109" t="e">
        <f>#REF!</f>
        <v>#REF!</v>
      </c>
      <c r="H30" s="28" t="e">
        <f t="shared" si="4"/>
        <v>#REF!</v>
      </c>
      <c r="I30" s="28"/>
      <c r="J30" s="43"/>
      <c r="K30" s="43"/>
      <c r="L30" s="43"/>
      <c r="M30" s="43"/>
      <c r="N30" s="58"/>
    </row>
    <row r="31" s="2" customFormat="1" ht="15" customHeight="1" spans="1:14">
      <c r="A31" s="26"/>
      <c r="B31" s="34" t="s">
        <v>2270</v>
      </c>
      <c r="C31" s="65" t="s">
        <v>862</v>
      </c>
      <c r="D31" s="40">
        <v>1</v>
      </c>
      <c r="E31" s="113"/>
      <c r="F31" s="23" t="e">
        <f>#REF!</f>
        <v>#REF!</v>
      </c>
      <c r="G31" s="109" t="e">
        <f>#REF!</f>
        <v>#REF!</v>
      </c>
      <c r="H31" s="28" t="e">
        <f t="shared" si="4"/>
        <v>#REF!</v>
      </c>
      <c r="I31" s="28"/>
      <c r="J31" s="43"/>
      <c r="K31" s="43"/>
      <c r="L31" s="43"/>
      <c r="M31" s="43"/>
      <c r="N31" s="58"/>
    </row>
    <row r="32" s="2" customFormat="1" ht="15" customHeight="1" spans="1:14">
      <c r="A32" s="26"/>
      <c r="B32" s="34" t="s">
        <v>2271</v>
      </c>
      <c r="C32" s="65" t="s">
        <v>862</v>
      </c>
      <c r="D32" s="40">
        <v>1.3</v>
      </c>
      <c r="E32" s="113"/>
      <c r="F32" s="23" t="e">
        <f>#REF!</f>
        <v>#REF!</v>
      </c>
      <c r="G32" s="109" t="e">
        <f>#REF!</f>
        <v>#REF!</v>
      </c>
      <c r="H32" s="28" t="e">
        <f t="shared" si="4"/>
        <v>#REF!</v>
      </c>
      <c r="I32" s="28"/>
      <c r="J32" s="43"/>
      <c r="K32" s="43"/>
      <c r="L32" s="43"/>
      <c r="M32" s="43"/>
      <c r="N32" s="58"/>
    </row>
    <row r="33" s="2" customFormat="1" ht="15" customHeight="1" spans="1:14">
      <c r="A33" s="26"/>
      <c r="B33" s="34" t="s">
        <v>2272</v>
      </c>
      <c r="C33" s="65" t="s">
        <v>665</v>
      </c>
      <c r="D33" s="40">
        <v>0.03</v>
      </c>
      <c r="E33" s="113"/>
      <c r="F33" s="23" t="e">
        <f>#REF!</f>
        <v>#REF!</v>
      </c>
      <c r="G33" s="109" t="e">
        <f>#REF!</f>
        <v>#REF!</v>
      </c>
      <c r="H33" s="28" t="e">
        <f t="shared" si="4"/>
        <v>#REF!</v>
      </c>
      <c r="I33" s="28"/>
      <c r="J33" s="43"/>
      <c r="K33" s="43"/>
      <c r="L33" s="43"/>
      <c r="M33" s="43"/>
      <c r="N33" s="58"/>
    </row>
    <row r="34" s="2" customFormat="1" ht="15" customHeight="1" spans="1:14">
      <c r="A34" s="26" t="s">
        <v>622</v>
      </c>
      <c r="B34" s="39" t="s">
        <v>2273</v>
      </c>
      <c r="C34" s="22"/>
      <c r="D34" s="22"/>
      <c r="E34" s="22"/>
      <c r="F34" s="23"/>
      <c r="G34" s="111"/>
      <c r="H34" s="28" t="e">
        <f>SUM(H35:H36)</f>
        <v>#REF!</v>
      </c>
      <c r="I34" s="28" t="e">
        <f>IF(H34=0,"",IF(#REF!=0,"",H34*10000/#REF!))</f>
        <v>#REF!</v>
      </c>
      <c r="J34" s="43"/>
      <c r="K34" s="43"/>
      <c r="L34" s="43"/>
      <c r="M34" s="43"/>
      <c r="N34" s="58"/>
    </row>
    <row r="35" s="2" customFormat="1" ht="15" customHeight="1" spans="1:14">
      <c r="A35" s="26"/>
      <c r="B35" s="1829" t="s">
        <v>2274</v>
      </c>
      <c r="C35" s="22" t="s">
        <v>505</v>
      </c>
      <c r="D35" s="22">
        <v>1</v>
      </c>
      <c r="E35" s="22"/>
      <c r="F35" s="23" t="e">
        <f>#REF!</f>
        <v>#REF!</v>
      </c>
      <c r="G35" s="109" t="e">
        <f>#REF!</f>
        <v>#REF!</v>
      </c>
      <c r="H35" s="28" t="e">
        <f t="shared" ref="H35:H39" si="5">D35*F35*G35/10000</f>
        <v>#REF!</v>
      </c>
      <c r="I35" s="25" t="e">
        <f>IF(H35=0,"",IF(#REF!=0,"",H35*10000/#REF!))</f>
        <v>#REF!</v>
      </c>
      <c r="J35" s="43"/>
      <c r="K35" s="43"/>
      <c r="L35" s="43"/>
      <c r="M35" s="43"/>
      <c r="N35" s="58"/>
    </row>
    <row r="36" s="2" customFormat="1" ht="15" customHeight="1" spans="1:14">
      <c r="A36" s="26"/>
      <c r="B36" s="1829" t="s">
        <v>2275</v>
      </c>
      <c r="C36" s="22" t="s">
        <v>505</v>
      </c>
      <c r="D36" s="41">
        <v>0.03</v>
      </c>
      <c r="E36" s="41"/>
      <c r="F36" s="23" t="e">
        <f>#REF!</f>
        <v>#REF!</v>
      </c>
      <c r="G36" s="42" t="e">
        <f>SUM(I15,I19,I20,I35,I27)</f>
        <v>#REF!</v>
      </c>
      <c r="H36" s="28" t="e">
        <f t="shared" si="5"/>
        <v>#REF!</v>
      </c>
      <c r="I36" s="28"/>
      <c r="J36" s="43"/>
      <c r="K36" s="43"/>
      <c r="L36" s="43"/>
      <c r="M36" s="43"/>
      <c r="N36" s="61"/>
    </row>
    <row r="37" s="2" customFormat="1" ht="15" customHeight="1" spans="1:14">
      <c r="A37" s="19" t="s">
        <v>622</v>
      </c>
      <c r="B37" s="64" t="s">
        <v>2276</v>
      </c>
      <c r="C37" s="21" t="s">
        <v>505</v>
      </c>
      <c r="D37" s="47">
        <v>0.6</v>
      </c>
      <c r="E37" s="47"/>
      <c r="F37" s="23" t="e">
        <f>#REF!</f>
        <v>#REF!</v>
      </c>
      <c r="G37" s="115">
        <v>90</v>
      </c>
      <c r="H37" s="28" t="e">
        <f>F37*G37*D37/10000</f>
        <v>#REF!</v>
      </c>
      <c r="I37" s="25" t="e">
        <f>IF(H37=0,"",IF(#REF!=0,"",H37*10000/#REF!))</f>
        <v>#REF!</v>
      </c>
      <c r="J37" s="43"/>
      <c r="K37" s="43"/>
      <c r="L37" s="43"/>
      <c r="M37" s="43"/>
      <c r="N37" s="58"/>
    </row>
    <row r="38" s="2" customFormat="1" ht="15" customHeight="1" spans="1:14">
      <c r="A38" s="26" t="s">
        <v>622</v>
      </c>
      <c r="B38" s="27" t="s">
        <v>1275</v>
      </c>
      <c r="C38" s="22"/>
      <c r="D38" s="22"/>
      <c r="E38" s="22"/>
      <c r="F38" s="23"/>
      <c r="G38" s="111"/>
      <c r="H38" s="28" t="e">
        <f>SUM(H39)</f>
        <v>#REF!</v>
      </c>
      <c r="I38" s="28" t="e">
        <f>IF(H38=0,"",IF(#REF!=0,"",H38*10000/#REF!))</f>
        <v>#REF!</v>
      </c>
      <c r="J38" s="43"/>
      <c r="K38" s="43"/>
      <c r="L38" s="43"/>
      <c r="M38" s="43"/>
      <c r="N38" s="58"/>
    </row>
    <row r="39" s="2" customFormat="1" ht="15" customHeight="1" spans="1:14">
      <c r="A39" s="26"/>
      <c r="B39" s="43" t="s">
        <v>2277</v>
      </c>
      <c r="C39" s="22"/>
      <c r="D39" s="22">
        <v>1</v>
      </c>
      <c r="E39" s="22"/>
      <c r="F39" s="23" t="e">
        <f>#REF!</f>
        <v>#REF!</v>
      </c>
      <c r="G39" s="111">
        <v>100</v>
      </c>
      <c r="H39" s="28" t="e">
        <f t="shared" si="5"/>
        <v>#REF!</v>
      </c>
      <c r="I39" s="28"/>
      <c r="J39" s="43"/>
      <c r="K39" s="43"/>
      <c r="L39" s="43"/>
      <c r="M39" s="43"/>
      <c r="N39" s="58"/>
    </row>
    <row r="40" s="2" customFormat="1" ht="15" customHeight="1" spans="1:14">
      <c r="A40" s="102" t="s">
        <v>533</v>
      </c>
      <c r="B40" s="103" t="s">
        <v>2278</v>
      </c>
      <c r="C40" s="12"/>
      <c r="D40" s="12"/>
      <c r="E40" s="12"/>
      <c r="F40" s="48"/>
      <c r="G40" s="12"/>
      <c r="H40" s="13" t="e">
        <f>H41+H54+H98</f>
        <v>#REF!</v>
      </c>
      <c r="I40" s="13" t="e">
        <f>IF(H40=0,"",IF(#REF!=0,"",H40*10000/#REF!))</f>
        <v>#REF!</v>
      </c>
      <c r="J40" s="55"/>
      <c r="K40" s="55"/>
      <c r="L40" s="55"/>
      <c r="M40" s="55"/>
      <c r="N40" s="63"/>
    </row>
    <row r="41" s="2" customFormat="1" ht="15" customHeight="1" spans="1:14">
      <c r="A41" s="1825" t="s">
        <v>2247</v>
      </c>
      <c r="B41" s="15" t="s">
        <v>2279</v>
      </c>
      <c r="C41" s="104"/>
      <c r="D41" s="104"/>
      <c r="E41" s="104"/>
      <c r="F41" s="105"/>
      <c r="G41" s="104"/>
      <c r="H41" s="106" t="e">
        <f>H42+H47+H46</f>
        <v>#REF!</v>
      </c>
      <c r="I41" s="106" t="e">
        <f>IF(H41=0,"",IF(#REF!=0,"",H41*10000/#REF!))</f>
        <v>#REF!</v>
      </c>
      <c r="J41" s="130"/>
      <c r="K41" s="130"/>
      <c r="L41" s="130"/>
      <c r="M41" s="130"/>
      <c r="N41" s="131"/>
    </row>
    <row r="42" s="2" customFormat="1" ht="15" customHeight="1" spans="1:14">
      <c r="A42" s="19" t="s">
        <v>622</v>
      </c>
      <c r="B42" s="20" t="s">
        <v>2280</v>
      </c>
      <c r="C42" s="22" t="s">
        <v>505</v>
      </c>
      <c r="D42" s="49"/>
      <c r="E42" s="49"/>
      <c r="F42" s="23"/>
      <c r="G42" s="22"/>
      <c r="H42" s="28" t="e">
        <f>SUM(H43:H45)</f>
        <v>#REF!</v>
      </c>
      <c r="I42" s="28" t="e">
        <f>IF(H42=0,"",IF(#REF!=0,"",H42*10000/#REF!))</f>
        <v>#REF!</v>
      </c>
      <c r="J42" s="43"/>
      <c r="K42" s="43"/>
      <c r="L42" s="43"/>
      <c r="M42" s="43"/>
      <c r="N42" s="58"/>
    </row>
    <row r="43" s="2" customFormat="1" ht="15" customHeight="1" spans="1:14">
      <c r="A43" s="19"/>
      <c r="B43" s="117" t="s">
        <v>2281</v>
      </c>
      <c r="C43" s="21" t="s">
        <v>505</v>
      </c>
      <c r="D43" s="21">
        <v>1</v>
      </c>
      <c r="E43" s="21"/>
      <c r="F43" s="23" t="e">
        <f>#REF!</f>
        <v>#REF!</v>
      </c>
      <c r="G43" s="23">
        <v>40</v>
      </c>
      <c r="H43" s="28" t="e">
        <f t="shared" ref="H43:H53" si="6">D43*F43*G43/10000</f>
        <v>#REF!</v>
      </c>
      <c r="I43" s="28"/>
      <c r="J43" s="43"/>
      <c r="K43" s="43"/>
      <c r="L43" s="43"/>
      <c r="M43" s="43"/>
      <c r="N43" s="58"/>
    </row>
    <row r="44" s="2" customFormat="1" ht="15" customHeight="1" spans="1:14">
      <c r="A44" s="19"/>
      <c r="B44" s="117" t="s">
        <v>2282</v>
      </c>
      <c r="C44" s="21" t="s">
        <v>505</v>
      </c>
      <c r="D44" s="21">
        <v>1</v>
      </c>
      <c r="E44" s="21"/>
      <c r="F44" s="23" t="e">
        <f>#REF!</f>
        <v>#REF!</v>
      </c>
      <c r="G44" s="23">
        <v>10</v>
      </c>
      <c r="H44" s="28" t="e">
        <f t="shared" si="6"/>
        <v>#REF!</v>
      </c>
      <c r="I44" s="28"/>
      <c r="J44" s="43"/>
      <c r="K44" s="43"/>
      <c r="L44" s="43"/>
      <c r="M44" s="43"/>
      <c r="N44" s="58"/>
    </row>
    <row r="45" s="2" customFormat="1" ht="15" customHeight="1" spans="1:14">
      <c r="A45" s="19"/>
      <c r="B45" s="117" t="s">
        <v>2283</v>
      </c>
      <c r="C45" s="21" t="s">
        <v>505</v>
      </c>
      <c r="D45" s="21">
        <v>1</v>
      </c>
      <c r="E45" s="21"/>
      <c r="F45" s="23" t="e">
        <f>#REF!</f>
        <v>#REF!</v>
      </c>
      <c r="G45" s="23">
        <v>20</v>
      </c>
      <c r="H45" s="28" t="e">
        <f t="shared" si="6"/>
        <v>#REF!</v>
      </c>
      <c r="I45" s="28"/>
      <c r="J45" s="43"/>
      <c r="K45" s="43"/>
      <c r="L45" s="43"/>
      <c r="M45" s="43"/>
      <c r="N45" s="58"/>
    </row>
    <row r="46" s="2" customFormat="1" ht="15" customHeight="1" spans="1:14">
      <c r="A46" s="19" t="s">
        <v>622</v>
      </c>
      <c r="B46" s="20" t="s">
        <v>2284</v>
      </c>
      <c r="C46" s="21" t="s">
        <v>505</v>
      </c>
      <c r="D46" s="21">
        <v>1</v>
      </c>
      <c r="E46" s="21"/>
      <c r="F46" s="23" t="e">
        <f>#REF!</f>
        <v>#REF!</v>
      </c>
      <c r="G46" s="23"/>
      <c r="H46" s="28" t="e">
        <f t="shared" si="6"/>
        <v>#REF!</v>
      </c>
      <c r="I46" s="28" t="e">
        <f>IF(H46=0,"",IF(#REF!=0,"",H46*10000/#REF!))</f>
        <v>#REF!</v>
      </c>
      <c r="J46" s="43"/>
      <c r="K46" s="43"/>
      <c r="L46" s="43"/>
      <c r="M46" s="43"/>
      <c r="N46" s="58"/>
    </row>
    <row r="47" s="2" customFormat="1" ht="15" customHeight="1" spans="1:14">
      <c r="A47" s="19" t="s">
        <v>622</v>
      </c>
      <c r="B47" s="20" t="s">
        <v>2285</v>
      </c>
      <c r="C47" s="22" t="s">
        <v>505</v>
      </c>
      <c r="D47" s="49"/>
      <c r="E47" s="49"/>
      <c r="F47" s="23"/>
      <c r="G47" s="23"/>
      <c r="H47" s="28" t="e">
        <f>SUM(H48:H53)</f>
        <v>#REF!</v>
      </c>
      <c r="I47" s="28" t="e">
        <f>IF(H47=0,"",IF(#REF!=0,"",H47*10000/#REF!))</f>
        <v>#REF!</v>
      </c>
      <c r="J47" s="43"/>
      <c r="K47" s="43"/>
      <c r="L47" s="43"/>
      <c r="M47" s="43"/>
      <c r="N47" s="58"/>
    </row>
    <row r="48" s="2" customFormat="1" ht="16.5" customHeight="1" spans="1:14">
      <c r="A48" s="19"/>
      <c r="B48" s="117" t="s">
        <v>2286</v>
      </c>
      <c r="C48" s="21" t="s">
        <v>505</v>
      </c>
      <c r="D48" s="21">
        <v>1</v>
      </c>
      <c r="E48" s="21"/>
      <c r="F48" s="23" t="e">
        <f>#REF!</f>
        <v>#REF!</v>
      </c>
      <c r="G48" s="394">
        <v>60</v>
      </c>
      <c r="H48" s="28" t="e">
        <f t="shared" si="6"/>
        <v>#REF!</v>
      </c>
      <c r="I48" s="28"/>
      <c r="J48" s="43"/>
      <c r="K48" s="43"/>
      <c r="L48" s="43"/>
      <c r="M48" s="43"/>
      <c r="N48" s="58"/>
    </row>
    <row r="49" s="2" customFormat="1" ht="15" customHeight="1" spans="1:14">
      <c r="A49" s="19"/>
      <c r="B49" s="117" t="s">
        <v>2287</v>
      </c>
      <c r="C49" s="21" t="s">
        <v>505</v>
      </c>
      <c r="D49" s="21">
        <v>1</v>
      </c>
      <c r="E49" s="21"/>
      <c r="F49" s="23" t="e">
        <f>#REF!</f>
        <v>#REF!</v>
      </c>
      <c r="G49" s="394">
        <v>20</v>
      </c>
      <c r="H49" s="28" t="e">
        <f t="shared" si="6"/>
        <v>#REF!</v>
      </c>
      <c r="I49" s="28"/>
      <c r="J49" s="43"/>
      <c r="K49" s="43"/>
      <c r="L49" s="43"/>
      <c r="M49" s="43"/>
      <c r="N49" s="58"/>
    </row>
    <row r="50" s="2" customFormat="1" ht="15" customHeight="1" spans="1:14">
      <c r="A50" s="19"/>
      <c r="B50" s="117" t="s">
        <v>2288</v>
      </c>
      <c r="C50" s="21" t="s">
        <v>505</v>
      </c>
      <c r="D50" s="21">
        <v>1</v>
      </c>
      <c r="E50" s="21"/>
      <c r="F50" s="23" t="e">
        <f>#REF!</f>
        <v>#REF!</v>
      </c>
      <c r="G50" s="394">
        <v>100</v>
      </c>
      <c r="H50" s="28" t="e">
        <f t="shared" si="6"/>
        <v>#REF!</v>
      </c>
      <c r="I50" s="28"/>
      <c r="J50" s="43"/>
      <c r="K50" s="43"/>
      <c r="L50" s="43"/>
      <c r="M50" s="43"/>
      <c r="N50" s="74"/>
    </row>
    <row r="51" s="2" customFormat="1" ht="15" customHeight="1" spans="1:14">
      <c r="A51" s="19"/>
      <c r="B51" s="117" t="s">
        <v>2289</v>
      </c>
      <c r="C51" s="21" t="s">
        <v>505</v>
      </c>
      <c r="D51" s="21">
        <v>1</v>
      </c>
      <c r="E51" s="21"/>
      <c r="F51" s="23" t="e">
        <f>#REF!</f>
        <v>#REF!</v>
      </c>
      <c r="G51" s="394">
        <v>10</v>
      </c>
      <c r="H51" s="28" t="e">
        <f t="shared" si="6"/>
        <v>#REF!</v>
      </c>
      <c r="I51" s="28"/>
      <c r="J51" s="43"/>
      <c r="K51" s="43"/>
      <c r="L51" s="43"/>
      <c r="M51" s="43"/>
      <c r="N51" s="74"/>
    </row>
    <row r="52" s="2" customFormat="1" ht="15" customHeight="1" spans="1:14">
      <c r="A52" s="19"/>
      <c r="B52" s="117" t="s">
        <v>2290</v>
      </c>
      <c r="C52" s="21" t="s">
        <v>505</v>
      </c>
      <c r="D52" s="21">
        <v>1</v>
      </c>
      <c r="E52" s="21"/>
      <c r="F52" s="23" t="e">
        <f>#REF!</f>
        <v>#REF!</v>
      </c>
      <c r="G52" s="394">
        <v>30</v>
      </c>
      <c r="H52" s="28" t="e">
        <f t="shared" si="6"/>
        <v>#REF!</v>
      </c>
      <c r="I52" s="28"/>
      <c r="J52" s="43"/>
      <c r="K52" s="43"/>
      <c r="L52" s="43"/>
      <c r="M52" s="43"/>
      <c r="N52" s="58"/>
    </row>
    <row r="53" s="2" customFormat="1" ht="15" customHeight="1" spans="1:14">
      <c r="A53" s="19"/>
      <c r="B53" s="117" t="s">
        <v>2277</v>
      </c>
      <c r="C53" s="21" t="s">
        <v>505</v>
      </c>
      <c r="D53" s="21">
        <v>1</v>
      </c>
      <c r="E53" s="21"/>
      <c r="F53" s="23" t="e">
        <f>#REF!</f>
        <v>#REF!</v>
      </c>
      <c r="G53" s="394">
        <v>10</v>
      </c>
      <c r="H53" s="28" t="e">
        <f t="shared" si="6"/>
        <v>#REF!</v>
      </c>
      <c r="I53" s="28"/>
      <c r="J53" s="43"/>
      <c r="K53" s="43"/>
      <c r="L53" s="43"/>
      <c r="M53" s="43"/>
      <c r="N53" s="58"/>
    </row>
    <row r="54" s="2" customFormat="1" ht="15" customHeight="1" spans="1:14">
      <c r="A54" s="1825" t="s">
        <v>2257</v>
      </c>
      <c r="B54" s="15" t="s">
        <v>2291</v>
      </c>
      <c r="C54" s="104"/>
      <c r="D54" s="104"/>
      <c r="E54" s="104"/>
      <c r="F54" s="105"/>
      <c r="G54" s="119"/>
      <c r="H54" s="106" t="e">
        <f>SUM(H55:H59)</f>
        <v>#REF!</v>
      </c>
      <c r="I54" s="106" t="e">
        <f>IF(H54=0,"",IF(#REF!=0,"",H54*10000/#REF!))</f>
        <v>#REF!</v>
      </c>
      <c r="J54" s="130"/>
      <c r="K54" s="130"/>
      <c r="L54" s="130"/>
      <c r="M54" s="130"/>
      <c r="N54" s="131"/>
    </row>
    <row r="55" s="2" customFormat="1" ht="15" customHeight="1" spans="1:14">
      <c r="A55" s="19" t="s">
        <v>622</v>
      </c>
      <c r="B55" s="20" t="s">
        <v>2292</v>
      </c>
      <c r="C55" s="66"/>
      <c r="D55" s="21">
        <v>1</v>
      </c>
      <c r="E55" s="21"/>
      <c r="F55" s="23" t="e">
        <f>#REF!</f>
        <v>#REF!</v>
      </c>
      <c r="G55" s="111"/>
      <c r="H55" s="28" t="e">
        <f t="shared" ref="H55:H59" si="7">F55*G55/10000</f>
        <v>#REF!</v>
      </c>
      <c r="I55" s="28"/>
      <c r="J55" s="43"/>
      <c r="K55" s="43"/>
      <c r="L55" s="43"/>
      <c r="M55" s="43"/>
      <c r="N55" s="58"/>
    </row>
    <row r="56" s="2" customFormat="1" ht="15" customHeight="1" spans="1:14">
      <c r="A56" s="19" t="s">
        <v>622</v>
      </c>
      <c r="B56" s="64" t="s">
        <v>2293</v>
      </c>
      <c r="C56" s="66" t="s">
        <v>602</v>
      </c>
      <c r="D56" s="21">
        <v>1</v>
      </c>
      <c r="E56" s="21"/>
      <c r="F56" s="23" t="e">
        <f>#REF!</f>
        <v>#REF!</v>
      </c>
      <c r="G56" s="111"/>
      <c r="H56" s="28" t="e">
        <f t="shared" si="7"/>
        <v>#REF!</v>
      </c>
      <c r="I56" s="28" t="e">
        <f>IF(H56=0,"",IF(#REF!=0,"",H56*10000/#REF!))</f>
        <v>#REF!</v>
      </c>
      <c r="J56" s="43"/>
      <c r="K56" s="43"/>
      <c r="L56" s="43"/>
      <c r="M56" s="43"/>
      <c r="N56" s="58"/>
    </row>
    <row r="57" s="2" customFormat="1" ht="15" customHeight="1" spans="1:14">
      <c r="A57" s="19" t="s">
        <v>622</v>
      </c>
      <c r="B57" s="64" t="s">
        <v>2294</v>
      </c>
      <c r="C57" s="22" t="s">
        <v>505</v>
      </c>
      <c r="D57" s="21">
        <v>1</v>
      </c>
      <c r="E57" s="21"/>
      <c r="F57" s="23" t="e">
        <f>#REF!</f>
        <v>#REF!</v>
      </c>
      <c r="G57" s="84"/>
      <c r="H57" s="28" t="e">
        <f>D57*F57*G57/10000</f>
        <v>#REF!</v>
      </c>
      <c r="I57" s="28"/>
      <c r="J57" s="43"/>
      <c r="K57" s="43"/>
      <c r="L57" s="43"/>
      <c r="M57" s="43"/>
      <c r="N57" s="58"/>
    </row>
    <row r="58" s="2" customFormat="1" ht="15" customHeight="1" spans="1:14">
      <c r="A58" s="19" t="s">
        <v>622</v>
      </c>
      <c r="B58" s="20" t="s">
        <v>2295</v>
      </c>
      <c r="C58" s="22" t="s">
        <v>505</v>
      </c>
      <c r="D58" s="21">
        <v>1</v>
      </c>
      <c r="E58" s="21"/>
      <c r="F58" s="23" t="e">
        <f>#REF!</f>
        <v>#REF!</v>
      </c>
      <c r="G58" s="118">
        <v>220</v>
      </c>
      <c r="H58" s="28" t="e">
        <f>D58*F58*G58/10000</f>
        <v>#REF!</v>
      </c>
      <c r="I58" s="28" t="e">
        <f>IF(H58=0,"",IF(#REF!=0,"",H58*10000/#REF!))</f>
        <v>#REF!</v>
      </c>
      <c r="J58" s="43"/>
      <c r="K58" s="43"/>
      <c r="L58" s="43"/>
      <c r="M58" s="43"/>
      <c r="N58" s="58"/>
    </row>
    <row r="59" s="2" customFormat="1" ht="15" customHeight="1" spans="1:14">
      <c r="A59" s="19" t="s">
        <v>622</v>
      </c>
      <c r="B59" s="64" t="s">
        <v>933</v>
      </c>
      <c r="C59" s="66"/>
      <c r="D59" s="21">
        <v>1</v>
      </c>
      <c r="E59" s="21"/>
      <c r="F59" s="23" t="e">
        <f>#REF!</f>
        <v>#REF!</v>
      </c>
      <c r="G59" s="111"/>
      <c r="H59" s="28" t="e">
        <f t="shared" si="7"/>
        <v>#REF!</v>
      </c>
      <c r="I59" s="28" t="e">
        <f>IF(H59=0,"",IF(#REF!=0,"",H59*10000/#REF!))</f>
        <v>#REF!</v>
      </c>
      <c r="J59" s="43"/>
      <c r="K59" s="43"/>
      <c r="L59" s="43"/>
      <c r="M59" s="43"/>
      <c r="N59" s="58"/>
    </row>
    <row r="60" s="2" customFormat="1" ht="15" customHeight="1" spans="1:14">
      <c r="A60" s="102" t="s">
        <v>547</v>
      </c>
      <c r="B60" s="103" t="s">
        <v>2296</v>
      </c>
      <c r="C60" s="12"/>
      <c r="D60" s="12"/>
      <c r="E60" s="12"/>
      <c r="F60" s="48"/>
      <c r="G60" s="12"/>
      <c r="H60" s="13" t="e">
        <f>H61+H76+H87+H91+H95</f>
        <v>#REF!</v>
      </c>
      <c r="I60" s="13" t="e">
        <f>IF(H60=0,"",IF(#REF!=0,"",H60*10000/#REF!))</f>
        <v>#REF!</v>
      </c>
      <c r="J60" s="55"/>
      <c r="K60" s="55"/>
      <c r="L60" s="55"/>
      <c r="M60" s="55"/>
      <c r="N60" s="63"/>
    </row>
    <row r="61" s="2" customFormat="1" ht="15" customHeight="1" spans="1:14">
      <c r="A61" s="120">
        <v>1</v>
      </c>
      <c r="B61" s="121" t="s">
        <v>550</v>
      </c>
      <c r="C61" s="122"/>
      <c r="D61" s="122"/>
      <c r="E61" s="122"/>
      <c r="F61" s="123"/>
      <c r="G61" s="122"/>
      <c r="H61" s="124" t="e">
        <f>H62+H71+H72+H75</f>
        <v>#REF!</v>
      </c>
      <c r="I61" s="106" t="e">
        <f>IF(H61=0,"",IF(#REF!=0,"",H61*10000/#REF!))</f>
        <v>#REF!</v>
      </c>
      <c r="J61" s="133"/>
      <c r="K61" s="133"/>
      <c r="L61" s="133"/>
      <c r="M61" s="133"/>
      <c r="N61" s="134"/>
    </row>
    <row r="62" s="2" customFormat="1" ht="15" customHeight="1" spans="1:14">
      <c r="A62" s="125" t="s">
        <v>619</v>
      </c>
      <c r="B62" s="126" t="s">
        <v>2297</v>
      </c>
      <c r="C62" s="127"/>
      <c r="D62" s="127"/>
      <c r="E62" s="127"/>
      <c r="F62" s="128"/>
      <c r="G62" s="127"/>
      <c r="H62" s="129" t="e">
        <f>SUM(H63:H70)</f>
        <v>#REF!</v>
      </c>
      <c r="I62" s="129" t="e">
        <f>IF(H62=0,"",IF(#REF!=0,"",H62*10000/#REF!))</f>
        <v>#REF!</v>
      </c>
      <c r="J62" s="135"/>
      <c r="K62" s="135"/>
      <c r="L62" s="135"/>
      <c r="M62" s="135"/>
      <c r="N62" s="136"/>
    </row>
    <row r="63" s="2" customFormat="1" ht="15" customHeight="1" spans="1:14">
      <c r="A63" s="19" t="s">
        <v>622</v>
      </c>
      <c r="B63" s="107" t="s">
        <v>2298</v>
      </c>
      <c r="C63" s="21" t="s">
        <v>505</v>
      </c>
      <c r="D63" s="47">
        <f>D26</f>
        <v>0</v>
      </c>
      <c r="E63" s="47"/>
      <c r="F63" s="23" t="e">
        <f>#REF!</f>
        <v>#REF!</v>
      </c>
      <c r="G63" s="115">
        <v>80</v>
      </c>
      <c r="H63" s="28" t="e">
        <f t="shared" ref="H63:H66" si="8">F63*G63*D63/10000</f>
        <v>#REF!</v>
      </c>
      <c r="I63" s="28" t="e">
        <f>IF(H63=0,"",IF(#REF!=0,"",H63*10000/#REF!))</f>
        <v>#REF!</v>
      </c>
      <c r="J63" s="43"/>
      <c r="K63" s="43"/>
      <c r="L63" s="43"/>
      <c r="M63" s="43"/>
      <c r="N63" s="58"/>
    </row>
    <row r="64" s="2" customFormat="1" ht="15" customHeight="1" spans="1:14">
      <c r="A64" s="19" t="s">
        <v>622</v>
      </c>
      <c r="B64" s="107" t="s">
        <v>2299</v>
      </c>
      <c r="C64" s="21"/>
      <c r="D64" s="47"/>
      <c r="E64" s="47"/>
      <c r="F64" s="23"/>
      <c r="G64" s="115"/>
      <c r="H64" s="28"/>
      <c r="I64" s="28"/>
      <c r="J64" s="43"/>
      <c r="K64" s="43"/>
      <c r="L64" s="43"/>
      <c r="M64" s="43"/>
      <c r="N64" s="58"/>
    </row>
    <row r="65" s="2" customFormat="1" ht="15" customHeight="1" spans="1:14">
      <c r="A65" s="19" t="s">
        <v>622</v>
      </c>
      <c r="B65" s="107" t="s">
        <v>2300</v>
      </c>
      <c r="C65" s="21"/>
      <c r="D65" s="47"/>
      <c r="E65" s="47"/>
      <c r="F65" s="23" t="e">
        <f>#REF!</f>
        <v>#REF!</v>
      </c>
      <c r="G65" s="115">
        <v>140</v>
      </c>
      <c r="H65" s="28" t="e">
        <f t="shared" si="8"/>
        <v>#REF!</v>
      </c>
      <c r="I65" s="28" t="e">
        <f>IF(H65=0,"",IF(#REF!=0,"",H65*10000/#REF!))</f>
        <v>#REF!</v>
      </c>
      <c r="J65" s="43"/>
      <c r="K65" s="43"/>
      <c r="L65" s="43"/>
      <c r="M65" s="43"/>
      <c r="N65" s="58"/>
    </row>
    <row r="66" s="2" customFormat="1" ht="15" customHeight="1" spans="1:14">
      <c r="A66" s="19" t="s">
        <v>622</v>
      </c>
      <c r="B66" s="107" t="s">
        <v>2301</v>
      </c>
      <c r="C66" s="21"/>
      <c r="D66" s="47">
        <v>0.6</v>
      </c>
      <c r="E66" s="47"/>
      <c r="F66" s="23" t="e">
        <f>#REF!</f>
        <v>#REF!</v>
      </c>
      <c r="G66" s="115">
        <v>1000</v>
      </c>
      <c r="H66" s="28" t="e">
        <f t="shared" si="8"/>
        <v>#REF!</v>
      </c>
      <c r="I66" s="28" t="e">
        <f>IF(H66=0,"",IF(#REF!=0,"",H66*10000/#REF!))</f>
        <v>#REF!</v>
      </c>
      <c r="J66" s="43"/>
      <c r="K66" s="43"/>
      <c r="L66" s="43"/>
      <c r="M66" s="43"/>
      <c r="N66" s="58"/>
    </row>
    <row r="67" s="2" customFormat="1" ht="15" customHeight="1" spans="1:14">
      <c r="A67" s="19" t="s">
        <v>622</v>
      </c>
      <c r="B67" s="107" t="s">
        <v>2302</v>
      </c>
      <c r="C67" s="21"/>
      <c r="D67" s="47"/>
      <c r="E67" s="47"/>
      <c r="F67" s="23"/>
      <c r="G67" s="115"/>
      <c r="H67" s="28"/>
      <c r="I67" s="28" t="str">
        <f>IF(H67=0,"",IF(#REF!=0,"",H67*10000/#REF!))</f>
        <v/>
      </c>
      <c r="J67" s="43"/>
      <c r="K67" s="43"/>
      <c r="L67" s="43"/>
      <c r="M67" s="43"/>
      <c r="N67" s="58"/>
    </row>
    <row r="68" s="2" customFormat="1" ht="15" customHeight="1" spans="1:14">
      <c r="A68" s="19" t="s">
        <v>622</v>
      </c>
      <c r="B68" s="107" t="s">
        <v>2303</v>
      </c>
      <c r="C68" s="21"/>
      <c r="D68" s="47"/>
      <c r="E68" s="47"/>
      <c r="F68" s="23"/>
      <c r="G68" s="115"/>
      <c r="H68" s="28"/>
      <c r="I68" s="28"/>
      <c r="J68" s="43"/>
      <c r="K68" s="43"/>
      <c r="L68" s="43"/>
      <c r="M68" s="43"/>
      <c r="N68" s="58"/>
    </row>
    <row r="69" s="2" customFormat="1" ht="15" customHeight="1" spans="1:14">
      <c r="A69" s="19" t="s">
        <v>622</v>
      </c>
      <c r="B69" s="107" t="s">
        <v>2304</v>
      </c>
      <c r="C69" s="21"/>
      <c r="D69" s="47">
        <v>1</v>
      </c>
      <c r="E69" s="47"/>
      <c r="F69" s="23" t="e">
        <f>#REF!</f>
        <v>#REF!</v>
      </c>
      <c r="G69" s="115">
        <v>50</v>
      </c>
      <c r="H69" s="28" t="e">
        <f t="shared" ref="H69:H71" si="9">F69*G69*D69/10000</f>
        <v>#REF!</v>
      </c>
      <c r="I69" s="28" t="e">
        <f>IF(H69=0,"",IF(#REF!=0,"",H69*10000/#REF!))</f>
        <v>#REF!</v>
      </c>
      <c r="J69" s="43"/>
      <c r="K69" s="43"/>
      <c r="L69" s="43"/>
      <c r="M69" s="43"/>
      <c r="N69" s="58"/>
    </row>
    <row r="70" s="2" customFormat="1" ht="15" customHeight="1" spans="1:14">
      <c r="A70" s="19" t="s">
        <v>622</v>
      </c>
      <c r="B70" s="107" t="s">
        <v>2305</v>
      </c>
      <c r="C70" s="21"/>
      <c r="D70" s="47">
        <v>0.5</v>
      </c>
      <c r="E70" s="47"/>
      <c r="F70" s="23" t="e">
        <f>#REF!</f>
        <v>#REF!</v>
      </c>
      <c r="G70" s="115">
        <v>1100</v>
      </c>
      <c r="H70" s="28" t="e">
        <f t="shared" si="9"/>
        <v>#REF!</v>
      </c>
      <c r="I70" s="28" t="e">
        <f>IF(H70=0,"",IF(#REF!=0,"",H70*10000/#REF!))</f>
        <v>#REF!</v>
      </c>
      <c r="J70" s="43"/>
      <c r="K70" s="43"/>
      <c r="L70" s="43"/>
      <c r="M70" s="43"/>
      <c r="N70" s="58"/>
    </row>
    <row r="71" s="2" customFormat="1" ht="15" customHeight="1" spans="1:14">
      <c r="A71" s="125" t="s">
        <v>657</v>
      </c>
      <c r="B71" s="126" t="s">
        <v>2306</v>
      </c>
      <c r="C71" s="127"/>
      <c r="D71" s="128"/>
      <c r="E71" s="127"/>
      <c r="F71" s="128"/>
      <c r="G71" s="128"/>
      <c r="H71" s="129">
        <f t="shared" si="9"/>
        <v>0</v>
      </c>
      <c r="I71" s="129" t="str">
        <f>IF(H71=0,"",IF(#REF!=0,"",H71*10000/#REF!))</f>
        <v/>
      </c>
      <c r="J71" s="135"/>
      <c r="K71" s="135"/>
      <c r="L71" s="135"/>
      <c r="M71" s="135"/>
      <c r="N71" s="136"/>
    </row>
    <row r="72" s="2" customFormat="1" ht="15" customHeight="1" spans="1:14">
      <c r="A72" s="125" t="s">
        <v>762</v>
      </c>
      <c r="B72" s="126" t="s">
        <v>1803</v>
      </c>
      <c r="C72" s="127"/>
      <c r="D72" s="127"/>
      <c r="E72" s="127"/>
      <c r="F72" s="128"/>
      <c r="G72" s="127"/>
      <c r="H72" s="129" t="e">
        <f>SUM(H73:H74)</f>
        <v>#REF!</v>
      </c>
      <c r="I72" s="129" t="e">
        <f>IF(H72=0,"",IF(#REF!=0,"",H72*10000/#REF!))</f>
        <v>#REF!</v>
      </c>
      <c r="J72" s="135"/>
      <c r="K72" s="135"/>
      <c r="L72" s="135"/>
      <c r="M72" s="135"/>
      <c r="N72" s="136"/>
    </row>
    <row r="73" s="2" customFormat="1" ht="15" customHeight="1" spans="1:14">
      <c r="A73" s="19" t="s">
        <v>622</v>
      </c>
      <c r="B73" s="107" t="s">
        <v>2307</v>
      </c>
      <c r="C73" s="21"/>
      <c r="D73" s="23">
        <v>1</v>
      </c>
      <c r="E73" s="47"/>
      <c r="F73" s="23" t="e">
        <f>#REF!</f>
        <v>#REF!</v>
      </c>
      <c r="G73" s="115">
        <v>50</v>
      </c>
      <c r="H73" s="28" t="e">
        <f>F73*G73*D73/10000</f>
        <v>#REF!</v>
      </c>
      <c r="I73" s="28"/>
      <c r="J73" s="43"/>
      <c r="K73" s="43"/>
      <c r="L73" s="43"/>
      <c r="M73" s="43"/>
      <c r="N73" s="58"/>
    </row>
    <row r="74" s="2" customFormat="1" ht="15" customHeight="1" spans="1:14">
      <c r="A74" s="19" t="s">
        <v>622</v>
      </c>
      <c r="B74" s="107" t="s">
        <v>1813</v>
      </c>
      <c r="C74" s="21"/>
      <c r="D74" s="47"/>
      <c r="E74" s="47"/>
      <c r="F74" s="23" t="e">
        <f>#REF!</f>
        <v>#REF!</v>
      </c>
      <c r="G74" s="115"/>
      <c r="H74" s="28" t="e">
        <f>F74*G74*D74/10000</f>
        <v>#REF!</v>
      </c>
      <c r="I74" s="28"/>
      <c r="J74" s="43"/>
      <c r="K74" s="43"/>
      <c r="L74" s="43"/>
      <c r="M74" s="43"/>
      <c r="N74" s="58"/>
    </row>
    <row r="75" s="2" customFormat="1" ht="15" customHeight="1" spans="1:14">
      <c r="A75" s="125" t="s">
        <v>778</v>
      </c>
      <c r="B75" s="126" t="s">
        <v>1275</v>
      </c>
      <c r="C75" s="127"/>
      <c r="D75" s="127"/>
      <c r="E75" s="127"/>
      <c r="F75" s="128"/>
      <c r="G75" s="127"/>
      <c r="H75" s="129"/>
      <c r="I75" s="129" t="str">
        <f>IF(H75=0,"",IF(#REF!=0,"",H75*10000/#REF!))</f>
        <v/>
      </c>
      <c r="J75" s="135"/>
      <c r="K75" s="135"/>
      <c r="L75" s="135"/>
      <c r="M75" s="135"/>
      <c r="N75" s="136"/>
    </row>
    <row r="76" s="2" customFormat="1" ht="15" customHeight="1" spans="1:14">
      <c r="A76" s="120">
        <v>2</v>
      </c>
      <c r="B76" s="15" t="s">
        <v>2308</v>
      </c>
      <c r="C76" s="104"/>
      <c r="D76" s="104"/>
      <c r="E76" s="104"/>
      <c r="F76" s="105"/>
      <c r="G76" s="137"/>
      <c r="H76" s="106">
        <f>SUM(H77:H86)</f>
        <v>0</v>
      </c>
      <c r="I76" s="106" t="str">
        <f>IF(H76=0,"",IF(#REF!=0,"",H76*10000/#REF!))</f>
        <v/>
      </c>
      <c r="J76" s="130"/>
      <c r="K76" s="130"/>
      <c r="L76" s="130"/>
      <c r="M76" s="130"/>
      <c r="N76" s="131"/>
    </row>
    <row r="77" s="2" customFormat="1" ht="15" customHeight="1" spans="1:14">
      <c r="A77" s="125" t="s">
        <v>619</v>
      </c>
      <c r="B77" s="126" t="s">
        <v>2309</v>
      </c>
      <c r="C77" s="138"/>
      <c r="D77" s="143"/>
      <c r="E77" s="143"/>
      <c r="F77" s="139"/>
      <c r="G77" s="82"/>
      <c r="H77" s="141"/>
      <c r="I77" s="141" t="str">
        <f>IF(H77=0,"",IF(#REF!=0,"",H77*10000/#REF!))</f>
        <v/>
      </c>
      <c r="J77" s="158"/>
      <c r="K77" s="158"/>
      <c r="L77" s="158"/>
      <c r="M77" s="158"/>
      <c r="N77" s="159"/>
    </row>
    <row r="78" s="2" customFormat="1" ht="15" customHeight="1" spans="1:14">
      <c r="A78" s="125" t="s">
        <v>657</v>
      </c>
      <c r="B78" s="126" t="s">
        <v>1844</v>
      </c>
      <c r="C78" s="138"/>
      <c r="D78" s="143"/>
      <c r="E78" s="143"/>
      <c r="F78" s="139"/>
      <c r="G78" s="82"/>
      <c r="H78" s="141"/>
      <c r="I78" s="141" t="str">
        <f>IF(H78=0,"",IF(#REF!=0,"",H78*10000/#REF!))</f>
        <v/>
      </c>
      <c r="J78" s="158"/>
      <c r="K78" s="158"/>
      <c r="L78" s="158"/>
      <c r="M78" s="158"/>
      <c r="N78" s="159"/>
    </row>
    <row r="79" s="2" customFormat="1" ht="15" customHeight="1" spans="1:14">
      <c r="A79" s="125" t="s">
        <v>762</v>
      </c>
      <c r="B79" s="126" t="s">
        <v>2310</v>
      </c>
      <c r="C79" s="138"/>
      <c r="D79" s="139"/>
      <c r="E79" s="139"/>
      <c r="F79" s="139"/>
      <c r="G79" s="140"/>
      <c r="H79" s="141"/>
      <c r="I79" s="141" t="str">
        <f>IF(H79=0,"",IF(#REF!=0,"",H79*10000/#REF!))</f>
        <v/>
      </c>
      <c r="J79" s="158"/>
      <c r="K79" s="158"/>
      <c r="L79" s="158"/>
      <c r="M79" s="158"/>
      <c r="N79" s="159"/>
    </row>
    <row r="80" s="2" customFormat="1" ht="15" customHeight="1" spans="1:14">
      <c r="A80" s="125" t="s">
        <v>778</v>
      </c>
      <c r="B80" s="126" t="s">
        <v>1858</v>
      </c>
      <c r="C80" s="142"/>
      <c r="D80" s="143"/>
      <c r="E80" s="143"/>
      <c r="F80" s="139"/>
      <c r="G80" s="140"/>
      <c r="H80" s="141"/>
      <c r="I80" s="141" t="str">
        <f>IF(H80=0,"",IF(#REF!=0,"",H80*10000/#REF!))</f>
        <v/>
      </c>
      <c r="J80" s="158"/>
      <c r="K80" s="158"/>
      <c r="L80" s="158"/>
      <c r="M80" s="158"/>
      <c r="N80" s="159"/>
    </row>
    <row r="81" s="2" customFormat="1" ht="15" customHeight="1" spans="1:14">
      <c r="A81" s="125" t="s">
        <v>781</v>
      </c>
      <c r="B81" s="126" t="s">
        <v>2311</v>
      </c>
      <c r="C81" s="142"/>
      <c r="D81" s="143"/>
      <c r="E81" s="143"/>
      <c r="F81" s="139"/>
      <c r="G81" s="140"/>
      <c r="H81" s="141"/>
      <c r="I81" s="141"/>
      <c r="J81" s="158"/>
      <c r="K81" s="158"/>
      <c r="L81" s="158"/>
      <c r="M81" s="158"/>
      <c r="N81" s="159"/>
    </row>
    <row r="82" s="2" customFormat="1" ht="15" customHeight="1" spans="1:14">
      <c r="A82" s="125" t="s">
        <v>788</v>
      </c>
      <c r="B82" s="126" t="s">
        <v>2312</v>
      </c>
      <c r="C82" s="142"/>
      <c r="D82" s="143"/>
      <c r="E82" s="143"/>
      <c r="F82" s="139"/>
      <c r="G82" s="140"/>
      <c r="H82" s="141"/>
      <c r="I82" s="141"/>
      <c r="J82" s="158"/>
      <c r="K82" s="158"/>
      <c r="L82" s="158"/>
      <c r="M82" s="158"/>
      <c r="N82" s="159"/>
    </row>
    <row r="83" s="2" customFormat="1" ht="15" customHeight="1" spans="1:14">
      <c r="A83" s="125" t="s">
        <v>791</v>
      </c>
      <c r="B83" s="126" t="s">
        <v>1874</v>
      </c>
      <c r="C83" s="142"/>
      <c r="D83" s="143"/>
      <c r="E83" s="143"/>
      <c r="F83" s="139"/>
      <c r="G83" s="140"/>
      <c r="H83" s="141"/>
      <c r="I83" s="141"/>
      <c r="J83" s="158"/>
      <c r="K83" s="158"/>
      <c r="L83" s="158"/>
      <c r="M83" s="158"/>
      <c r="N83" s="159"/>
    </row>
    <row r="84" s="2" customFormat="1" ht="15" customHeight="1" spans="1:14">
      <c r="A84" s="125" t="s">
        <v>794</v>
      </c>
      <c r="B84" s="126" t="s">
        <v>1876</v>
      </c>
      <c r="C84" s="142"/>
      <c r="D84" s="143"/>
      <c r="E84" s="143"/>
      <c r="F84" s="139"/>
      <c r="G84" s="140"/>
      <c r="H84" s="141"/>
      <c r="I84" s="141"/>
      <c r="J84" s="158"/>
      <c r="K84" s="158"/>
      <c r="L84" s="158"/>
      <c r="M84" s="158"/>
      <c r="N84" s="159"/>
    </row>
    <row r="85" s="2" customFormat="1" ht="15" customHeight="1" spans="1:14">
      <c r="A85" s="125" t="s">
        <v>797</v>
      </c>
      <c r="B85" s="126" t="s">
        <v>1878</v>
      </c>
      <c r="C85" s="142"/>
      <c r="D85" s="143"/>
      <c r="E85" s="143"/>
      <c r="F85" s="139"/>
      <c r="G85" s="140"/>
      <c r="H85" s="141"/>
      <c r="I85" s="141"/>
      <c r="J85" s="158"/>
      <c r="K85" s="158"/>
      <c r="L85" s="158"/>
      <c r="M85" s="158"/>
      <c r="N85" s="159"/>
    </row>
    <row r="86" s="2" customFormat="1" ht="16.35" customHeight="1" spans="1:14">
      <c r="A86" s="125" t="s">
        <v>1519</v>
      </c>
      <c r="B86" s="126" t="s">
        <v>2313</v>
      </c>
      <c r="C86" s="142"/>
      <c r="D86" s="143"/>
      <c r="E86" s="143"/>
      <c r="F86" s="139"/>
      <c r="G86" s="140"/>
      <c r="H86" s="141"/>
      <c r="I86" s="141"/>
      <c r="J86" s="158"/>
      <c r="K86" s="158"/>
      <c r="L86" s="158"/>
      <c r="M86" s="158"/>
      <c r="N86" s="159"/>
    </row>
    <row r="87" s="2" customFormat="1" ht="16.35" customHeight="1" spans="1:14">
      <c r="A87" s="120">
        <v>3</v>
      </c>
      <c r="B87" s="121" t="s">
        <v>1705</v>
      </c>
      <c r="C87" s="104"/>
      <c r="D87" s="104"/>
      <c r="E87" s="104"/>
      <c r="F87" s="105"/>
      <c r="G87" s="137"/>
      <c r="H87" s="106">
        <f>SUM(H88:H90)</f>
        <v>0</v>
      </c>
      <c r="I87" s="106" t="str">
        <f>IF(H87=0,"",IF(#REF!=0,"",H87*10000/#REF!))</f>
        <v/>
      </c>
      <c r="J87" s="130"/>
      <c r="K87" s="130"/>
      <c r="L87" s="130"/>
      <c r="M87" s="130"/>
      <c r="N87" s="131"/>
    </row>
    <row r="88" s="2" customFormat="1" ht="16.35" customHeight="1" spans="1:14">
      <c r="A88" s="125" t="s">
        <v>619</v>
      </c>
      <c r="B88" s="126" t="s">
        <v>1705</v>
      </c>
      <c r="C88" s="138"/>
      <c r="D88" s="128">
        <v>1</v>
      </c>
      <c r="E88" s="127"/>
      <c r="F88" s="128"/>
      <c r="G88" s="128"/>
      <c r="H88" s="129">
        <f>F88*G88*D88/10000</f>
        <v>0</v>
      </c>
      <c r="I88" s="129" t="str">
        <f>IF(H88=0,"",IF(#REF!=0,"",H88*10000/#REF!))</f>
        <v/>
      </c>
      <c r="J88" s="158"/>
      <c r="K88" s="158"/>
      <c r="L88" s="158"/>
      <c r="M88" s="158"/>
      <c r="N88" s="159"/>
    </row>
    <row r="89" s="2" customFormat="1" ht="16.35" customHeight="1" spans="1:14">
      <c r="A89" s="125" t="s">
        <v>657</v>
      </c>
      <c r="B89" s="126" t="s">
        <v>2314</v>
      </c>
      <c r="C89" s="138"/>
      <c r="D89" s="143"/>
      <c r="E89" s="143"/>
      <c r="F89" s="139"/>
      <c r="G89" s="140"/>
      <c r="H89" s="141"/>
      <c r="I89" s="141"/>
      <c r="J89" s="158"/>
      <c r="K89" s="158"/>
      <c r="L89" s="158"/>
      <c r="M89" s="158"/>
      <c r="N89" s="159"/>
    </row>
    <row r="90" s="2" customFormat="1" ht="16.35" customHeight="1" spans="1:14">
      <c r="A90" s="125" t="s">
        <v>762</v>
      </c>
      <c r="B90" s="126" t="s">
        <v>2315</v>
      </c>
      <c r="C90" s="138"/>
      <c r="D90" s="143"/>
      <c r="E90" s="143"/>
      <c r="F90" s="139"/>
      <c r="G90" s="140"/>
      <c r="H90" s="141"/>
      <c r="I90" s="141"/>
      <c r="J90" s="158"/>
      <c r="K90" s="158"/>
      <c r="L90" s="158"/>
      <c r="M90" s="158"/>
      <c r="N90" s="159"/>
    </row>
    <row r="91" s="2" customFormat="1" ht="16.35" customHeight="1" spans="1:14">
      <c r="A91" s="120">
        <v>4</v>
      </c>
      <c r="B91" s="121" t="s">
        <v>554</v>
      </c>
      <c r="C91" s="104"/>
      <c r="D91" s="104"/>
      <c r="E91" s="104"/>
      <c r="F91" s="105"/>
      <c r="G91" s="104"/>
      <c r="H91" s="106">
        <f>SUM(H92:H94)</f>
        <v>0</v>
      </c>
      <c r="I91" s="106" t="str">
        <f>IF(H91=0,"",IF(#REF!=0,"",H91*10000/#REF!))</f>
        <v/>
      </c>
      <c r="J91" s="130"/>
      <c r="K91" s="130"/>
      <c r="L91" s="130"/>
      <c r="M91" s="130"/>
      <c r="N91" s="131"/>
    </row>
    <row r="92" s="2" customFormat="1" ht="16.35" customHeight="1" spans="1:14">
      <c r="A92" s="125" t="s">
        <v>619</v>
      </c>
      <c r="B92" s="126" t="s">
        <v>2316</v>
      </c>
      <c r="C92" s="142"/>
      <c r="D92" s="128">
        <v>1</v>
      </c>
      <c r="E92" s="127"/>
      <c r="F92" s="128"/>
      <c r="G92" s="128"/>
      <c r="H92" s="129">
        <f t="shared" ref="H92:H97" si="10">F92*G92*D92/10000</f>
        <v>0</v>
      </c>
      <c r="I92" s="129" t="str">
        <f>IF(H92=0,"",IF(#REF!=0,"",H92*10000/#REF!))</f>
        <v/>
      </c>
      <c r="J92" s="158"/>
      <c r="K92" s="158"/>
      <c r="L92" s="158"/>
      <c r="M92" s="158"/>
      <c r="N92" s="159"/>
    </row>
    <row r="93" s="2" customFormat="1" ht="16.35" customHeight="1" spans="1:14">
      <c r="A93" s="125" t="s">
        <v>657</v>
      </c>
      <c r="B93" s="126" t="s">
        <v>2317</v>
      </c>
      <c r="C93" s="142"/>
      <c r="D93" s="142"/>
      <c r="E93" s="142"/>
      <c r="F93" s="139"/>
      <c r="G93" s="144"/>
      <c r="H93" s="141"/>
      <c r="I93" s="141"/>
      <c r="J93" s="141"/>
      <c r="K93" s="141"/>
      <c r="L93" s="141"/>
      <c r="M93" s="141"/>
      <c r="N93" s="160"/>
    </row>
    <row r="94" s="2" customFormat="1" ht="16.35" customHeight="1" spans="1:14">
      <c r="A94" s="125" t="s">
        <v>762</v>
      </c>
      <c r="B94" s="126" t="s">
        <v>2318</v>
      </c>
      <c r="C94" s="142"/>
      <c r="D94" s="142"/>
      <c r="E94" s="142"/>
      <c r="F94" s="139"/>
      <c r="G94" s="144"/>
      <c r="H94" s="141"/>
      <c r="I94" s="141"/>
      <c r="J94" s="141"/>
      <c r="K94" s="141"/>
      <c r="L94" s="141"/>
      <c r="M94" s="141"/>
      <c r="N94" s="161"/>
    </row>
    <row r="95" s="2" customFormat="1" ht="16.35" customHeight="1" spans="1:14">
      <c r="A95" s="120">
        <v>5</v>
      </c>
      <c r="B95" s="121" t="s">
        <v>556</v>
      </c>
      <c r="C95" s="145" t="s">
        <v>505</v>
      </c>
      <c r="D95" s="145"/>
      <c r="E95" s="145"/>
      <c r="F95" s="146"/>
      <c r="G95" s="147"/>
      <c r="H95" s="106" t="e">
        <f>SUM(H96:H107)</f>
        <v>#REF!</v>
      </c>
      <c r="I95" s="106" t="e">
        <f>IF(H95=0,"",IF(#REF!=0,"",H95*10000/#REF!))</f>
        <v>#REF!</v>
      </c>
      <c r="J95" s="162"/>
      <c r="K95" s="162"/>
      <c r="L95" s="162"/>
      <c r="M95" s="162"/>
      <c r="N95" s="163"/>
    </row>
    <row r="96" s="2" customFormat="1" ht="16.35" customHeight="1" spans="1:14">
      <c r="A96" s="125" t="s">
        <v>619</v>
      </c>
      <c r="B96" s="126" t="s">
        <v>2319</v>
      </c>
      <c r="C96" s="142"/>
      <c r="D96" s="128">
        <v>1</v>
      </c>
      <c r="E96" s="127"/>
      <c r="F96" s="128"/>
      <c r="G96" s="128"/>
      <c r="H96" s="129">
        <f t="shared" si="10"/>
        <v>0</v>
      </c>
      <c r="I96" s="129" t="str">
        <f>IF(H96=0,"",IF(#REF!=0,"",H96*10000/#REF!))</f>
        <v/>
      </c>
      <c r="J96" s="141"/>
      <c r="K96" s="141"/>
      <c r="L96" s="141"/>
      <c r="M96" s="141"/>
      <c r="N96" s="161"/>
    </row>
    <row r="97" s="2" customFormat="1" ht="16.35" customHeight="1" spans="1:14">
      <c r="A97" s="125" t="s">
        <v>657</v>
      </c>
      <c r="B97" s="126" t="s">
        <v>1904</v>
      </c>
      <c r="C97" s="142"/>
      <c r="D97" s="128">
        <v>1</v>
      </c>
      <c r="E97" s="127"/>
      <c r="F97" s="128"/>
      <c r="G97" s="128"/>
      <c r="H97" s="129">
        <f t="shared" si="10"/>
        <v>0</v>
      </c>
      <c r="I97" s="129" t="str">
        <f>IF(H97=0,"",IF(#REF!=0,"",H97*10000/#REF!))</f>
        <v/>
      </c>
      <c r="J97" s="141"/>
      <c r="K97" s="141"/>
      <c r="L97" s="141"/>
      <c r="M97" s="141"/>
      <c r="N97" s="161"/>
    </row>
    <row r="98" s="2" customFormat="1" ht="16.35" customHeight="1" spans="1:14">
      <c r="A98" s="125" t="s">
        <v>762</v>
      </c>
      <c r="B98" s="126" t="s">
        <v>1906</v>
      </c>
      <c r="C98" s="142"/>
      <c r="D98" s="142"/>
      <c r="E98" s="142"/>
      <c r="F98" s="139"/>
      <c r="G98" s="144"/>
      <c r="H98" s="141"/>
      <c r="I98" s="141"/>
      <c r="J98" s="141"/>
      <c r="K98" s="141"/>
      <c r="L98" s="141"/>
      <c r="M98" s="141"/>
      <c r="N98" s="161"/>
    </row>
    <row r="99" s="2" customFormat="1" ht="16.35" customHeight="1" spans="1:14">
      <c r="A99" s="125" t="s">
        <v>778</v>
      </c>
      <c r="B99" s="126" t="s">
        <v>1908</v>
      </c>
      <c r="C99" s="142"/>
      <c r="D99" s="142"/>
      <c r="E99" s="142"/>
      <c r="F99" s="139"/>
      <c r="G99" s="144"/>
      <c r="H99" s="141"/>
      <c r="I99" s="141"/>
      <c r="J99" s="141"/>
      <c r="K99" s="141"/>
      <c r="L99" s="141"/>
      <c r="M99" s="141"/>
      <c r="N99" s="161"/>
    </row>
    <row r="100" s="2" customFormat="1" ht="16.35" customHeight="1" spans="1:14">
      <c r="A100" s="125" t="s">
        <v>781</v>
      </c>
      <c r="B100" s="126" t="s">
        <v>1910</v>
      </c>
      <c r="C100" s="142"/>
      <c r="D100" s="142"/>
      <c r="E100" s="142"/>
      <c r="F100" s="139"/>
      <c r="G100" s="144"/>
      <c r="H100" s="141"/>
      <c r="I100" s="141"/>
      <c r="J100" s="141"/>
      <c r="K100" s="141"/>
      <c r="L100" s="141"/>
      <c r="M100" s="141"/>
      <c r="N100" s="161"/>
    </row>
    <row r="101" s="2" customFormat="1" ht="16.35" customHeight="1" spans="1:14">
      <c r="A101" s="125" t="s">
        <v>788</v>
      </c>
      <c r="B101" s="126" t="s">
        <v>1914</v>
      </c>
      <c r="C101" s="142"/>
      <c r="D101" s="142"/>
      <c r="E101" s="142"/>
      <c r="F101" s="139"/>
      <c r="G101" s="144"/>
      <c r="H101" s="141"/>
      <c r="I101" s="141"/>
      <c r="J101" s="141"/>
      <c r="K101" s="141"/>
      <c r="L101" s="141"/>
      <c r="M101" s="141"/>
      <c r="N101" s="161"/>
    </row>
    <row r="102" s="2" customFormat="1" ht="16.35" customHeight="1" spans="1:14">
      <c r="A102" s="125" t="s">
        <v>791</v>
      </c>
      <c r="B102" s="126" t="s">
        <v>1781</v>
      </c>
      <c r="C102" s="142"/>
      <c r="D102" s="128">
        <v>1</v>
      </c>
      <c r="E102" s="127"/>
      <c r="F102" s="128" t="e">
        <f>#REF!</f>
        <v>#REF!</v>
      </c>
      <c r="G102" s="128">
        <v>80</v>
      </c>
      <c r="H102" s="129" t="e">
        <f>F102*G102*D102/10000</f>
        <v>#REF!</v>
      </c>
      <c r="I102" s="129" t="e">
        <f>IF(H102=0,"",IF(#REF!=0,"",H102*10000/#REF!))</f>
        <v>#REF!</v>
      </c>
      <c r="J102" s="141"/>
      <c r="K102" s="141"/>
      <c r="L102" s="141"/>
      <c r="M102" s="141"/>
      <c r="N102" s="161"/>
    </row>
    <row r="103" s="2" customFormat="1" ht="16.35" customHeight="1" spans="1:14">
      <c r="A103" s="125" t="s">
        <v>794</v>
      </c>
      <c r="B103" s="126" t="s">
        <v>1916</v>
      </c>
      <c r="C103" s="142"/>
      <c r="D103" s="142"/>
      <c r="E103" s="142"/>
      <c r="F103" s="139"/>
      <c r="G103" s="144"/>
      <c r="H103" s="141"/>
      <c r="I103" s="141"/>
      <c r="J103" s="141"/>
      <c r="K103" s="141"/>
      <c r="L103" s="141"/>
      <c r="M103" s="141"/>
      <c r="N103" s="161"/>
    </row>
    <row r="104" s="2" customFormat="1" ht="16.35" customHeight="1" spans="1:14">
      <c r="A104" s="125" t="s">
        <v>797</v>
      </c>
      <c r="B104" s="126" t="s">
        <v>1700</v>
      </c>
      <c r="C104" s="142"/>
      <c r="D104" s="142"/>
      <c r="E104" s="142"/>
      <c r="F104" s="139"/>
      <c r="G104" s="144"/>
      <c r="H104" s="141"/>
      <c r="I104" s="141"/>
      <c r="J104" s="141"/>
      <c r="K104" s="141"/>
      <c r="L104" s="141"/>
      <c r="M104" s="141"/>
      <c r="N104" s="161"/>
    </row>
    <row r="105" s="2" customFormat="1" ht="16.35" customHeight="1" spans="1:14">
      <c r="A105" s="125" t="s">
        <v>1519</v>
      </c>
      <c r="B105" s="126" t="s">
        <v>1919</v>
      </c>
      <c r="C105" s="142"/>
      <c r="D105" s="142"/>
      <c r="E105" s="142"/>
      <c r="F105" s="139"/>
      <c r="G105" s="144"/>
      <c r="H105" s="141"/>
      <c r="I105" s="141"/>
      <c r="J105" s="141"/>
      <c r="K105" s="141"/>
      <c r="L105" s="141"/>
      <c r="M105" s="141"/>
      <c r="N105" s="161"/>
    </row>
    <row r="106" s="2" customFormat="1" ht="16.35" customHeight="1" spans="1:14">
      <c r="A106" s="125" t="s">
        <v>1520</v>
      </c>
      <c r="B106" s="126" t="s">
        <v>1921</v>
      </c>
      <c r="C106" s="142"/>
      <c r="D106" s="142"/>
      <c r="E106" s="142"/>
      <c r="F106" s="139"/>
      <c r="G106" s="144"/>
      <c r="H106" s="141"/>
      <c r="I106" s="141"/>
      <c r="J106" s="141"/>
      <c r="K106" s="141"/>
      <c r="L106" s="141"/>
      <c r="M106" s="141"/>
      <c r="N106" s="161"/>
    </row>
    <row r="107" s="2" customFormat="1" ht="16.35" customHeight="1" spans="1:14">
      <c r="A107" s="125" t="s">
        <v>1727</v>
      </c>
      <c r="B107" s="126" t="s">
        <v>546</v>
      </c>
      <c r="C107" s="142"/>
      <c r="D107" s="142"/>
      <c r="E107" s="142"/>
      <c r="F107" s="139"/>
      <c r="G107" s="144"/>
      <c r="H107" s="141"/>
      <c r="I107" s="141"/>
      <c r="J107" s="141"/>
      <c r="K107" s="141"/>
      <c r="L107" s="141"/>
      <c r="M107" s="141"/>
      <c r="N107" s="161"/>
    </row>
    <row r="108" ht="16.35" customHeight="1" spans="1:14">
      <c r="A108" s="102" t="s">
        <v>557</v>
      </c>
      <c r="B108" s="103" t="s">
        <v>485</v>
      </c>
      <c r="C108" s="148"/>
      <c r="D108" s="149"/>
      <c r="E108" s="149"/>
      <c r="F108" s="149"/>
      <c r="G108" s="149"/>
      <c r="H108" s="150" t="e">
        <f>SUM(H109:H110)</f>
        <v>#REF!</v>
      </c>
      <c r="I108" s="150" t="e">
        <f>IF(H108=0,"",IF(#REF!=0,"",H108*10000/#REF!))</f>
        <v>#REF!</v>
      </c>
      <c r="J108" s="149"/>
      <c r="K108" s="149"/>
      <c r="L108" s="149"/>
      <c r="M108" s="149"/>
      <c r="N108" s="164"/>
    </row>
    <row r="109" ht="16.35" customHeight="1" spans="1:14">
      <c r="A109" s="151">
        <v>1</v>
      </c>
      <c r="B109" s="152" t="s">
        <v>2320</v>
      </c>
      <c r="C109" s="153"/>
      <c r="D109" s="154" t="e">
        <f>#REF!</f>
        <v>#REF!</v>
      </c>
      <c r="E109" s="154"/>
      <c r="F109" s="155"/>
      <c r="G109" s="155">
        <v>10000</v>
      </c>
      <c r="H109" s="156" t="e">
        <f>D109*F109*G109/10000</f>
        <v>#REF!</v>
      </c>
      <c r="I109" s="156" t="e">
        <f>IF(H109=0,"",IF(#REF!=0,"",H109*10000/#REF!))</f>
        <v>#REF!</v>
      </c>
      <c r="J109" s="156"/>
      <c r="K109" s="157"/>
      <c r="L109" s="157"/>
      <c r="M109" s="157"/>
      <c r="N109" s="165"/>
    </row>
    <row r="110" ht="16.35" customHeight="1" spans="1:14">
      <c r="A110" s="151">
        <v>2</v>
      </c>
      <c r="B110" s="152" t="s">
        <v>2321</v>
      </c>
      <c r="C110" s="153"/>
      <c r="D110" s="157"/>
      <c r="E110" s="157"/>
      <c r="F110" s="157"/>
      <c r="G110" s="157"/>
      <c r="H110" s="157"/>
      <c r="I110" s="106" t="str">
        <f>IF(H110=0,"",IF(#REF!=0,"",H110*10000/#REF!))</f>
        <v/>
      </c>
      <c r="J110" s="157"/>
      <c r="K110" s="157"/>
      <c r="L110" s="157"/>
      <c r="M110" s="157"/>
      <c r="N110" s="165"/>
    </row>
  </sheetData>
  <mergeCells count="1">
    <mergeCell ref="C1:F1"/>
  </mergeCells>
  <pageMargins left="0.75" right="0.75" top="1" bottom="1" header="0.5" footer="0.5"/>
  <pageSetup paperSize="9" orientation="portrait"/>
  <headerFooter alignWithMargins="0"/>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75"/>
  <sheetViews>
    <sheetView zoomScale="130" zoomScaleNormal="130" workbookViewId="0">
      <selection activeCell="B31" sqref="B30:C31"/>
    </sheetView>
  </sheetViews>
  <sheetFormatPr defaultColWidth="9" defaultRowHeight="12"/>
  <cols>
    <col min="1" max="1" width="4.6" style="4" customWidth="1"/>
    <col min="2" max="2" width="16.6" style="4" customWidth="1"/>
    <col min="3" max="3" width="8.9" style="5" customWidth="1"/>
    <col min="4" max="4" width="5.9" style="1" customWidth="1"/>
    <col min="5" max="5" width="7.1" style="1" customWidth="1"/>
    <col min="6" max="6" width="8.1" style="2" customWidth="1"/>
    <col min="7" max="7" width="10.5" style="1" customWidth="1"/>
    <col min="8" max="8" width="8.1" style="1" customWidth="1"/>
    <col min="9" max="10" width="8.1" style="1" hidden="1" customWidth="1"/>
    <col min="11" max="11" width="9.6" style="1" hidden="1" customWidth="1"/>
    <col min="12" max="12" width="8.1" style="1" hidden="1" customWidth="1"/>
    <col min="13" max="13" width="23.5" style="4" customWidth="1"/>
    <col min="14" max="14" width="6.1" style="4" customWidth="1"/>
    <col min="15" max="16384" width="9" style="4"/>
  </cols>
  <sheetData>
    <row r="1" ht="16.5" customHeight="1" spans="2:5">
      <c r="B1" s="6" t="e">
        <f>#REF!</f>
        <v>#REF!</v>
      </c>
      <c r="C1" s="7" t="s">
        <v>1524</v>
      </c>
      <c r="D1" s="7"/>
      <c r="E1" s="7"/>
    </row>
    <row r="2" s="1" customFormat="1" ht="30" customHeight="1" spans="1:13">
      <c r="A2" s="8" t="s">
        <v>21</v>
      </c>
      <c r="B2" s="9" t="s">
        <v>494</v>
      </c>
      <c r="C2" s="9" t="s">
        <v>606</v>
      </c>
      <c r="D2" s="9" t="s">
        <v>1295</v>
      </c>
      <c r="E2" s="1830" t="s">
        <v>2322</v>
      </c>
      <c r="F2" s="1830" t="s">
        <v>2240</v>
      </c>
      <c r="G2" s="9" t="s">
        <v>2241</v>
      </c>
      <c r="H2" s="9" t="s">
        <v>503</v>
      </c>
      <c r="I2" s="51" t="s">
        <v>2242</v>
      </c>
      <c r="J2" s="52" t="s">
        <v>2243</v>
      </c>
      <c r="K2" s="52" t="s">
        <v>2244</v>
      </c>
      <c r="L2" s="53" t="s">
        <v>2245</v>
      </c>
      <c r="M2" s="54" t="s">
        <v>1300</v>
      </c>
    </row>
    <row r="3" s="2" customFormat="1" ht="18.75" customHeight="1" spans="1:13">
      <c r="A3" s="10" t="s">
        <v>533</v>
      </c>
      <c r="B3" s="11" t="s">
        <v>2323</v>
      </c>
      <c r="C3" s="12"/>
      <c r="D3" s="12"/>
      <c r="E3" s="12"/>
      <c r="F3" s="87"/>
      <c r="G3" s="13" t="e">
        <f>G4+G9+G32+G38+G48</f>
        <v>#REF!</v>
      </c>
      <c r="H3" s="13" t="e">
        <f>IF(G3=0,"",IF(#REF!=0,"",G3*10000/#REF!))</f>
        <v>#REF!</v>
      </c>
      <c r="I3" s="55"/>
      <c r="J3" s="55"/>
      <c r="K3" s="55"/>
      <c r="L3" s="55"/>
      <c r="M3" s="56"/>
    </row>
    <row r="4" s="2" customFormat="1" ht="15" customHeight="1" spans="1:13">
      <c r="A4" s="1825" t="s">
        <v>2247</v>
      </c>
      <c r="B4" s="15" t="s">
        <v>2248</v>
      </c>
      <c r="C4" s="16"/>
      <c r="D4" s="16"/>
      <c r="E4" s="17"/>
      <c r="F4" s="88"/>
      <c r="G4" s="18" t="e">
        <f>SUM(G5:G8)</f>
        <v>#REF!</v>
      </c>
      <c r="H4" s="18" t="e">
        <f>IF(G4=0,"",IF(#REF!=0,"",G4*10000/#REF!))</f>
        <v>#REF!</v>
      </c>
      <c r="I4" s="57"/>
      <c r="J4" s="57"/>
      <c r="K4" s="57"/>
      <c r="L4" s="57"/>
      <c r="M4" s="58"/>
    </row>
    <row r="5" s="2" customFormat="1" ht="15" customHeight="1" outlineLevel="1" spans="1:13">
      <c r="A5" s="19" t="s">
        <v>622</v>
      </c>
      <c r="B5" s="20" t="s">
        <v>2249</v>
      </c>
      <c r="C5" s="21" t="s">
        <v>167</v>
      </c>
      <c r="D5" s="22">
        <v>2</v>
      </c>
      <c r="E5" s="23" t="e">
        <f>#REF!</f>
        <v>#REF!</v>
      </c>
      <c r="F5" s="36" t="e">
        <f>高层还建房!F5</f>
        <v>#REF!</v>
      </c>
      <c r="G5" s="25" t="e">
        <f t="shared" ref="G5:G8" si="0">E5*F5*D5/10000</f>
        <v>#REF!</v>
      </c>
      <c r="H5" s="25" t="e">
        <f>IF(G5=0,"",IF(#REF!=0,"",G5*10000/#REF!))</f>
        <v>#REF!</v>
      </c>
      <c r="I5" s="59"/>
      <c r="J5" s="59"/>
      <c r="K5" s="59"/>
      <c r="L5" s="59"/>
      <c r="M5" s="58"/>
    </row>
    <row r="6" s="2" customFormat="1" ht="15" customHeight="1" outlineLevel="1" spans="1:13">
      <c r="A6" s="19" t="s">
        <v>622</v>
      </c>
      <c r="B6" s="20" t="s">
        <v>2324</v>
      </c>
      <c r="C6" s="22" t="s">
        <v>505</v>
      </c>
      <c r="D6" s="22">
        <v>1</v>
      </c>
      <c r="E6" s="23" t="e">
        <f>#REF!</f>
        <v>#REF!</v>
      </c>
      <c r="F6" s="37" t="e">
        <f>#REF!</f>
        <v>#REF!</v>
      </c>
      <c r="G6" s="25" t="e">
        <f t="shared" si="0"/>
        <v>#REF!</v>
      </c>
      <c r="H6" s="25" t="e">
        <f>IF(G6=0,"",IF(#REF!=0,"",G6*10000/#REF!))</f>
        <v>#REF!</v>
      </c>
      <c r="I6" s="59"/>
      <c r="J6" s="59"/>
      <c r="K6" s="59"/>
      <c r="L6" s="59"/>
      <c r="M6" s="58"/>
    </row>
    <row r="7" s="2" customFormat="1" ht="15" customHeight="1" outlineLevel="1" spans="1:13">
      <c r="A7" s="19" t="s">
        <v>622</v>
      </c>
      <c r="B7" s="20" t="s">
        <v>2325</v>
      </c>
      <c r="C7" s="22" t="s">
        <v>505</v>
      </c>
      <c r="D7" s="22">
        <v>1</v>
      </c>
      <c r="E7" s="23" t="e">
        <f>#REF!</f>
        <v>#REF!</v>
      </c>
      <c r="F7" s="37" t="e">
        <f>#REF!</f>
        <v>#REF!</v>
      </c>
      <c r="G7" s="25" t="e">
        <f t="shared" si="0"/>
        <v>#REF!</v>
      </c>
      <c r="H7" s="25" t="e">
        <f>IF(G7=0,"",IF(#REF!=0,"",G7*10000/#REF!))</f>
        <v>#REF!</v>
      </c>
      <c r="I7" s="59"/>
      <c r="J7" s="59"/>
      <c r="K7" s="59"/>
      <c r="L7" s="59"/>
      <c r="M7" s="58" t="s">
        <v>2326</v>
      </c>
    </row>
    <row r="8" s="2" customFormat="1" ht="15" customHeight="1" outlineLevel="1" spans="1:13">
      <c r="A8" s="19" t="s">
        <v>622</v>
      </c>
      <c r="B8" s="20" t="s">
        <v>2327</v>
      </c>
      <c r="C8" s="22" t="s">
        <v>505</v>
      </c>
      <c r="D8" s="22">
        <v>1</v>
      </c>
      <c r="E8" s="23" t="e">
        <f>#REF!</f>
        <v>#REF!</v>
      </c>
      <c r="F8" s="37" t="e">
        <f>#REF!</f>
        <v>#REF!</v>
      </c>
      <c r="G8" s="25" t="e">
        <f t="shared" si="0"/>
        <v>#REF!</v>
      </c>
      <c r="H8" s="25" t="e">
        <f>IF(G8=0,"",IF(#REF!=0,"",G8*10000/#REF!))</f>
        <v>#REF!</v>
      </c>
      <c r="I8" s="59"/>
      <c r="J8" s="59"/>
      <c r="K8" s="59"/>
      <c r="L8" s="59"/>
      <c r="M8" s="58"/>
    </row>
    <row r="9" s="2" customFormat="1" ht="15" customHeight="1" spans="1:13">
      <c r="A9" s="1825" t="s">
        <v>2257</v>
      </c>
      <c r="B9" s="15" t="s">
        <v>2258</v>
      </c>
      <c r="C9" s="16"/>
      <c r="D9" s="16"/>
      <c r="E9" s="17"/>
      <c r="F9" s="88"/>
      <c r="G9" s="18" t="e">
        <f>G10+G14+G15+G21+G27</f>
        <v>#REF!</v>
      </c>
      <c r="H9" s="18" t="e">
        <f>IF(G9=0,"",IF(#REF!=0,"",G9*10000/#REF!))</f>
        <v>#REF!</v>
      </c>
      <c r="I9" s="57"/>
      <c r="J9" s="57"/>
      <c r="K9" s="57"/>
      <c r="L9" s="57"/>
      <c r="M9" s="60"/>
    </row>
    <row r="10" s="2" customFormat="1" ht="15" customHeight="1" outlineLevel="1" spans="1:13">
      <c r="A10" s="26" t="s">
        <v>622</v>
      </c>
      <c r="B10" s="1826" t="s">
        <v>2259</v>
      </c>
      <c r="C10" s="22"/>
      <c r="D10" s="22"/>
      <c r="E10" s="23"/>
      <c r="F10" s="36"/>
      <c r="G10" s="28" t="e">
        <f>SUM(G11:G13)</f>
        <v>#REF!</v>
      </c>
      <c r="H10" s="28" t="e">
        <f>IF(G10=0,"",IF(#REF!=0,"",G10*10000/#REF!))</f>
        <v>#REF!</v>
      </c>
      <c r="I10" s="43"/>
      <c r="J10" s="43"/>
      <c r="K10" s="43"/>
      <c r="L10" s="43"/>
      <c r="M10" s="58"/>
    </row>
    <row r="11" s="2" customFormat="1" ht="15" customHeight="1" outlineLevel="1" spans="1:13">
      <c r="A11" s="26"/>
      <c r="B11" s="1827" t="s">
        <v>1536</v>
      </c>
      <c r="C11" s="22" t="s">
        <v>505</v>
      </c>
      <c r="D11" s="78">
        <v>0.34</v>
      </c>
      <c r="E11" s="23" t="e">
        <f>#REF!</f>
        <v>#REF!</v>
      </c>
      <c r="F11" s="36">
        <v>420</v>
      </c>
      <c r="G11" s="28" t="e">
        <f t="shared" ref="G11:G14" si="1">D11*E11*F11/10000</f>
        <v>#REF!</v>
      </c>
      <c r="H11" s="28"/>
      <c r="I11" s="43"/>
      <c r="J11" s="43"/>
      <c r="K11" s="43"/>
      <c r="L11" s="43"/>
      <c r="M11" s="58"/>
    </row>
    <row r="12" s="2" customFormat="1" ht="15" customHeight="1" outlineLevel="1" spans="1:13">
      <c r="A12" s="26"/>
      <c r="B12" s="1827" t="s">
        <v>1543</v>
      </c>
      <c r="C12" s="22" t="s">
        <v>505</v>
      </c>
      <c r="D12" s="78">
        <v>42</v>
      </c>
      <c r="E12" s="23" t="e">
        <f>#REF!</f>
        <v>#REF!</v>
      </c>
      <c r="F12" s="37" t="e">
        <f>#REF!</f>
        <v>#REF!</v>
      </c>
      <c r="G12" s="28" t="e">
        <f t="shared" si="1"/>
        <v>#REF!</v>
      </c>
      <c r="H12" s="28"/>
      <c r="I12" s="43"/>
      <c r="J12" s="43"/>
      <c r="K12" s="43"/>
      <c r="L12" s="43"/>
      <c r="M12" s="58" t="str">
        <f>高层还建房!M12</f>
        <v>钢筋5000元/吨</v>
      </c>
    </row>
    <row r="13" s="2" customFormat="1" ht="15" customHeight="1" outlineLevel="1" spans="1:13">
      <c r="A13" s="26"/>
      <c r="B13" s="1827" t="s">
        <v>1550</v>
      </c>
      <c r="C13" s="22" t="s">
        <v>505</v>
      </c>
      <c r="D13" s="22">
        <v>3.5</v>
      </c>
      <c r="E13" s="23" t="e">
        <f>#REF!</f>
        <v>#REF!</v>
      </c>
      <c r="F13" s="37" t="e">
        <f>#REF!</f>
        <v>#REF!</v>
      </c>
      <c r="G13" s="28" t="e">
        <f t="shared" si="1"/>
        <v>#REF!</v>
      </c>
      <c r="H13" s="28"/>
      <c r="I13" s="43"/>
      <c r="J13" s="43"/>
      <c r="K13" s="43"/>
      <c r="L13" s="43"/>
      <c r="M13" s="58"/>
    </row>
    <row r="14" s="2" customFormat="1" ht="15" customHeight="1" outlineLevel="1" spans="1:13">
      <c r="A14" s="26" t="s">
        <v>622</v>
      </c>
      <c r="B14" s="1828" t="s">
        <v>1552</v>
      </c>
      <c r="C14" s="22" t="s">
        <v>505</v>
      </c>
      <c r="D14" s="22">
        <v>0.18</v>
      </c>
      <c r="E14" s="23" t="e">
        <f>#REF!</f>
        <v>#REF!</v>
      </c>
      <c r="F14" s="37" t="e">
        <f>#REF!</f>
        <v>#REF!</v>
      </c>
      <c r="G14" s="28" t="e">
        <f t="shared" si="1"/>
        <v>#REF!</v>
      </c>
      <c r="H14" s="28" t="e">
        <f>IF(G14=0,"",IF(#REF!=0,"",G14*10000/#REF!))</f>
        <v>#REF!</v>
      </c>
      <c r="I14" s="43"/>
      <c r="J14" s="43"/>
      <c r="K14" s="43"/>
      <c r="L14" s="43"/>
      <c r="M14" s="58"/>
    </row>
    <row r="15" s="2" customFormat="1" ht="15" customHeight="1" outlineLevel="1" spans="1:13">
      <c r="A15" s="26" t="s">
        <v>622</v>
      </c>
      <c r="B15" s="1828" t="s">
        <v>1564</v>
      </c>
      <c r="C15" s="22"/>
      <c r="D15" s="22"/>
      <c r="E15" s="23"/>
      <c r="F15" s="36"/>
      <c r="G15" s="28" t="e">
        <f>SUM(G16:G20)</f>
        <v>#REF!</v>
      </c>
      <c r="H15" s="28" t="e">
        <f>IF(G15=0,"",IF(#REF!=0,"",G15*10000/#REF!))</f>
        <v>#REF!</v>
      </c>
      <c r="I15" s="43"/>
      <c r="J15" s="43"/>
      <c r="K15" s="43"/>
      <c r="L15" s="43"/>
      <c r="M15" s="58"/>
    </row>
    <row r="16" s="2" customFormat="1" ht="15" customHeight="1" outlineLevel="1" spans="1:13">
      <c r="A16" s="26"/>
      <c r="B16" s="34" t="s">
        <v>2260</v>
      </c>
      <c r="C16" s="22" t="s">
        <v>505</v>
      </c>
      <c r="D16" s="22">
        <f>高层还建房!D16</f>
        <v>0.9</v>
      </c>
      <c r="E16" s="23" t="e">
        <f>#REF!</f>
        <v>#REF!</v>
      </c>
      <c r="F16" s="37" t="e">
        <f>#REF!</f>
        <v>#REF!</v>
      </c>
      <c r="G16" s="28" t="e">
        <f t="shared" ref="G16:G20" si="2">E16*F16*D16/10000</f>
        <v>#REF!</v>
      </c>
      <c r="H16" s="28"/>
      <c r="I16" s="43"/>
      <c r="J16" s="43"/>
      <c r="K16" s="43"/>
      <c r="L16" s="43"/>
      <c r="M16" s="58"/>
    </row>
    <row r="17" s="2" customFormat="1" ht="15" customHeight="1" outlineLevel="1" spans="1:13">
      <c r="A17" s="26"/>
      <c r="B17" s="34" t="s">
        <v>2328</v>
      </c>
      <c r="C17" s="22" t="s">
        <v>505</v>
      </c>
      <c r="D17" s="22">
        <f>高层还建房!D17</f>
        <v>1.8</v>
      </c>
      <c r="E17" s="23" t="e">
        <f>#REF!</f>
        <v>#REF!</v>
      </c>
      <c r="F17" s="37" t="e">
        <f>#REF!</f>
        <v>#REF!</v>
      </c>
      <c r="G17" s="28" t="e">
        <f t="shared" si="2"/>
        <v>#REF!</v>
      </c>
      <c r="H17" s="28"/>
      <c r="I17" s="43"/>
      <c r="J17" s="43"/>
      <c r="K17" s="43"/>
      <c r="L17" s="43"/>
      <c r="M17" s="58"/>
    </row>
    <row r="18" s="2" customFormat="1" ht="15" customHeight="1" outlineLevel="1" spans="1:13">
      <c r="A18" s="26"/>
      <c r="B18" s="34" t="s">
        <v>2263</v>
      </c>
      <c r="C18" s="22" t="s">
        <v>505</v>
      </c>
      <c r="D18" s="22">
        <f>高层还建房!D18</f>
        <v>1.9</v>
      </c>
      <c r="E18" s="23" t="e">
        <f>#REF!</f>
        <v>#REF!</v>
      </c>
      <c r="F18" s="37" t="e">
        <f>#REF!</f>
        <v>#REF!</v>
      </c>
      <c r="G18" s="28" t="e">
        <f t="shared" si="2"/>
        <v>#REF!</v>
      </c>
      <c r="H18" s="28"/>
      <c r="I18" s="43"/>
      <c r="J18" s="43"/>
      <c r="K18" s="43"/>
      <c r="L18" s="43"/>
      <c r="M18" s="58"/>
    </row>
    <row r="19" s="2" customFormat="1" ht="15" customHeight="1" outlineLevel="1" spans="1:13">
      <c r="A19" s="26"/>
      <c r="B19" s="34" t="s">
        <v>2329</v>
      </c>
      <c r="C19" s="22" t="s">
        <v>505</v>
      </c>
      <c r="D19" s="22">
        <v>0.5</v>
      </c>
      <c r="E19" s="23" t="e">
        <f>#REF!</f>
        <v>#REF!</v>
      </c>
      <c r="F19" s="37" t="e">
        <f>#REF!</f>
        <v>#REF!</v>
      </c>
      <c r="G19" s="28" t="e">
        <f t="shared" si="2"/>
        <v>#REF!</v>
      </c>
      <c r="H19" s="28"/>
      <c r="I19" s="43"/>
      <c r="J19" s="43"/>
      <c r="K19" s="43"/>
      <c r="L19" s="43"/>
      <c r="M19" s="58"/>
    </row>
    <row r="20" s="2" customFormat="1" ht="15" customHeight="1" outlineLevel="1" spans="1:13">
      <c r="A20" s="26"/>
      <c r="B20" s="34" t="s">
        <v>2330</v>
      </c>
      <c r="C20" s="22" t="s">
        <v>505</v>
      </c>
      <c r="D20" s="22">
        <v>0.9</v>
      </c>
      <c r="E20" s="23" t="e">
        <f>#REF!</f>
        <v>#REF!</v>
      </c>
      <c r="F20" s="37" t="e">
        <f>#REF!</f>
        <v>#REF!</v>
      </c>
      <c r="G20" s="28" t="e">
        <f t="shared" si="2"/>
        <v>#REF!</v>
      </c>
      <c r="H20" s="28"/>
      <c r="I20" s="43"/>
      <c r="J20" s="43"/>
      <c r="K20" s="43"/>
      <c r="L20" s="43"/>
      <c r="M20" s="58"/>
    </row>
    <row r="21" s="2" customFormat="1" ht="15" customHeight="1" outlineLevel="1" spans="1:13">
      <c r="A21" s="26" t="s">
        <v>622</v>
      </c>
      <c r="B21" s="1828" t="s">
        <v>2266</v>
      </c>
      <c r="C21" s="22"/>
      <c r="D21" s="22"/>
      <c r="E21" s="23"/>
      <c r="F21" s="36"/>
      <c r="G21" s="28" t="e">
        <f>SUM(G22:G26)</f>
        <v>#REF!</v>
      </c>
      <c r="H21" s="28" t="e">
        <f>IF(G21=0,"",IF(#REF!=0,"",G21*10000/#REF!))</f>
        <v>#REF!</v>
      </c>
      <c r="I21" s="43"/>
      <c r="J21" s="43"/>
      <c r="K21" s="43"/>
      <c r="L21" s="43"/>
      <c r="M21" s="58"/>
    </row>
    <row r="22" s="2" customFormat="1" ht="15" customHeight="1" outlineLevel="1" spans="1:13">
      <c r="A22" s="26"/>
      <c r="B22" s="34" t="s">
        <v>2271</v>
      </c>
      <c r="C22" s="80" t="s">
        <v>598</v>
      </c>
      <c r="D22" s="22">
        <f>高层还建房!D23</f>
        <v>1.3</v>
      </c>
      <c r="E22" s="23" t="e">
        <f>#REF!</f>
        <v>#REF!</v>
      </c>
      <c r="F22" s="37" t="e">
        <f>#REF!</f>
        <v>#REF!</v>
      </c>
      <c r="G22" s="28" t="e">
        <f t="shared" ref="G22:G26" si="3">E22*F22*D22/10000</f>
        <v>#REF!</v>
      </c>
      <c r="H22" s="28"/>
      <c r="I22" s="43"/>
      <c r="J22" s="43"/>
      <c r="K22" s="43"/>
      <c r="L22" s="43"/>
      <c r="M22" s="58"/>
    </row>
    <row r="23" s="2" customFormat="1" ht="15" customHeight="1" outlineLevel="1" spans="1:13">
      <c r="A23" s="26"/>
      <c r="B23" s="34" t="s">
        <v>2331</v>
      </c>
      <c r="C23" s="80" t="s">
        <v>598</v>
      </c>
      <c r="D23" s="22">
        <f>高层还建房!D24</f>
        <v>1</v>
      </c>
      <c r="E23" s="23" t="e">
        <f>#REF!</f>
        <v>#REF!</v>
      </c>
      <c r="F23" s="37" t="e">
        <f>#REF!</f>
        <v>#REF!</v>
      </c>
      <c r="G23" s="28" t="e">
        <f t="shared" si="3"/>
        <v>#REF!</v>
      </c>
      <c r="H23" s="28"/>
      <c r="I23" s="43"/>
      <c r="J23" s="43"/>
      <c r="K23" s="43"/>
      <c r="L23" s="43"/>
      <c r="M23" s="58"/>
    </row>
    <row r="24" s="2" customFormat="1" ht="15" customHeight="1" outlineLevel="1" spans="1:13">
      <c r="A24" s="26"/>
      <c r="B24" s="34" t="s">
        <v>2332</v>
      </c>
      <c r="C24" s="22" t="s">
        <v>505</v>
      </c>
      <c r="D24" s="22">
        <f>高层还建房!D25</f>
        <v>0.15</v>
      </c>
      <c r="E24" s="23" t="e">
        <f>#REF!</f>
        <v>#REF!</v>
      </c>
      <c r="F24" s="37" t="e">
        <f>#REF!</f>
        <v>#REF!</v>
      </c>
      <c r="G24" s="28" t="e">
        <f t="shared" si="3"/>
        <v>#REF!</v>
      </c>
      <c r="H24" s="28"/>
      <c r="I24" s="43"/>
      <c r="J24" s="43"/>
      <c r="K24" s="43"/>
      <c r="L24" s="43"/>
      <c r="M24" s="58"/>
    </row>
    <row r="25" s="2" customFormat="1" ht="15" customHeight="1" outlineLevel="1" spans="1:13">
      <c r="A25" s="26"/>
      <c r="B25" s="34" t="s">
        <v>2269</v>
      </c>
      <c r="C25" s="22" t="s">
        <v>505</v>
      </c>
      <c r="D25" s="22">
        <f>高层还建房!D26</f>
        <v>0.15</v>
      </c>
      <c r="E25" s="23" t="e">
        <f>#REF!</f>
        <v>#REF!</v>
      </c>
      <c r="F25" s="37" t="e">
        <f>#REF!</f>
        <v>#REF!</v>
      </c>
      <c r="G25" s="28" t="e">
        <f t="shared" si="3"/>
        <v>#REF!</v>
      </c>
      <c r="H25" s="28"/>
      <c r="I25" s="43"/>
      <c r="J25" s="43"/>
      <c r="K25" s="43"/>
      <c r="L25" s="43"/>
      <c r="M25" s="58"/>
    </row>
    <row r="26" s="2" customFormat="1" ht="15" customHeight="1" outlineLevel="1" spans="1:13">
      <c r="A26" s="26"/>
      <c r="B26" s="34" t="s">
        <v>2333</v>
      </c>
      <c r="C26" s="22" t="s">
        <v>505</v>
      </c>
      <c r="D26" s="22">
        <f>高层还建房!D27</f>
        <v>0.05</v>
      </c>
      <c r="E26" s="23" t="e">
        <f>#REF!</f>
        <v>#REF!</v>
      </c>
      <c r="F26" s="37" t="e">
        <f>#REF!</f>
        <v>#REF!</v>
      </c>
      <c r="G26" s="28" t="e">
        <f t="shared" si="3"/>
        <v>#REF!</v>
      </c>
      <c r="H26" s="28"/>
      <c r="I26" s="43"/>
      <c r="J26" s="43"/>
      <c r="K26" s="43"/>
      <c r="L26" s="43"/>
      <c r="M26" s="58"/>
    </row>
    <row r="27" s="2" customFormat="1" ht="15" customHeight="1" outlineLevel="1" spans="1:13">
      <c r="A27" s="26" t="s">
        <v>622</v>
      </c>
      <c r="B27" s="27" t="s">
        <v>1275</v>
      </c>
      <c r="C27" s="22"/>
      <c r="D27" s="22"/>
      <c r="E27" s="23"/>
      <c r="F27" s="36"/>
      <c r="G27" s="28" t="e">
        <f>SUM(G28:G31)</f>
        <v>#REF!</v>
      </c>
      <c r="H27" s="28" t="e">
        <f>IF(G27=0,"",IF(#REF!=0,"",G27*10000/#REF!))</f>
        <v>#REF!</v>
      </c>
      <c r="I27" s="43"/>
      <c r="J27" s="43"/>
      <c r="K27" s="43"/>
      <c r="L27" s="43"/>
      <c r="M27" s="58"/>
    </row>
    <row r="28" s="2" customFormat="1" ht="15" customHeight="1" outlineLevel="1" spans="1:13">
      <c r="A28" s="26"/>
      <c r="B28" s="1829" t="s">
        <v>2274</v>
      </c>
      <c r="C28" s="22" t="s">
        <v>505</v>
      </c>
      <c r="D28" s="22" t="e">
        <f>#REF!</f>
        <v>#REF!</v>
      </c>
      <c r="E28" s="23" t="e">
        <f>#REF!</f>
        <v>#REF!</v>
      </c>
      <c r="F28" s="36">
        <v>180</v>
      </c>
      <c r="G28" s="28" t="e">
        <f t="shared" ref="G28:G31" si="4">D28*E28*F28/10000</f>
        <v>#REF!</v>
      </c>
      <c r="H28" s="28" t="e">
        <f>IF(G28=0,"",IF(#REF!=0,"",G28*10000/#REF!))</f>
        <v>#REF!</v>
      </c>
      <c r="I28" s="43"/>
      <c r="J28" s="43"/>
      <c r="K28" s="43"/>
      <c r="L28" s="43"/>
      <c r="M28" s="58"/>
    </row>
    <row r="29" s="2" customFormat="1" ht="15" customHeight="1" outlineLevel="1" spans="1:13">
      <c r="A29" s="26"/>
      <c r="B29" s="1829" t="s">
        <v>2275</v>
      </c>
      <c r="C29" s="22" t="s">
        <v>505</v>
      </c>
      <c r="D29" s="22">
        <v>0.03</v>
      </c>
      <c r="E29" s="23" t="e">
        <f>#REF!</f>
        <v>#REF!</v>
      </c>
      <c r="F29" s="34" t="e">
        <f>SUM(H10,H14,H15,H28,H21)</f>
        <v>#REF!</v>
      </c>
      <c r="G29" s="28" t="e">
        <f t="shared" si="4"/>
        <v>#REF!</v>
      </c>
      <c r="H29" s="28"/>
      <c r="I29" s="43"/>
      <c r="J29" s="43"/>
      <c r="K29" s="43"/>
      <c r="L29" s="43"/>
      <c r="M29" s="61"/>
    </row>
    <row r="30" s="2" customFormat="1" ht="15" customHeight="1" outlineLevel="1" spans="1:13">
      <c r="A30" s="26"/>
      <c r="B30" s="43" t="s">
        <v>2334</v>
      </c>
      <c r="C30" s="80" t="s">
        <v>601</v>
      </c>
      <c r="D30" s="22">
        <v>3.1</v>
      </c>
      <c r="E30" s="23" t="e">
        <f>#REF!</f>
        <v>#REF!</v>
      </c>
      <c r="F30" s="36">
        <v>78</v>
      </c>
      <c r="G30" s="28" t="e">
        <f t="shared" si="4"/>
        <v>#REF!</v>
      </c>
      <c r="H30" s="28"/>
      <c r="I30" s="43"/>
      <c r="J30" s="43"/>
      <c r="K30" s="43"/>
      <c r="L30" s="43"/>
      <c r="M30" s="58"/>
    </row>
    <row r="31" s="2" customFormat="1" ht="15" customHeight="1" outlineLevel="1" spans="1:13">
      <c r="A31" s="26"/>
      <c r="B31" s="34" t="s">
        <v>2335</v>
      </c>
      <c r="C31" s="80" t="s">
        <v>601</v>
      </c>
      <c r="D31" s="22">
        <v>3.1</v>
      </c>
      <c r="E31" s="23" t="e">
        <f>#REF!</f>
        <v>#REF!</v>
      </c>
      <c r="F31" s="36">
        <v>68</v>
      </c>
      <c r="G31" s="28" t="e">
        <f t="shared" si="4"/>
        <v>#REF!</v>
      </c>
      <c r="H31" s="28"/>
      <c r="I31" s="43"/>
      <c r="J31" s="43"/>
      <c r="K31" s="43"/>
      <c r="L31" s="43"/>
      <c r="M31" s="58"/>
    </row>
    <row r="32" s="2" customFormat="1" ht="15" customHeight="1" spans="1:13">
      <c r="A32" s="1825" t="s">
        <v>2336</v>
      </c>
      <c r="B32" s="15" t="s">
        <v>1803</v>
      </c>
      <c r="C32" s="16"/>
      <c r="D32" s="16"/>
      <c r="E32" s="17"/>
      <c r="F32" s="88"/>
      <c r="G32" s="18" t="e">
        <f>SUM(G33:G37)</f>
        <v>#REF!</v>
      </c>
      <c r="H32" s="18" t="e">
        <f>IF(G32=0,"",IF(#REF!=0,"",G32*10000/#REF!))</f>
        <v>#REF!</v>
      </c>
      <c r="I32" s="57"/>
      <c r="J32" s="57"/>
      <c r="K32" s="57"/>
      <c r="L32" s="57"/>
      <c r="M32" s="58"/>
    </row>
    <row r="33" s="2" customFormat="1" ht="15" customHeight="1" outlineLevel="1" spans="1:13">
      <c r="A33" s="19" t="s">
        <v>622</v>
      </c>
      <c r="B33" s="20" t="s">
        <v>2337</v>
      </c>
      <c r="C33" s="22" t="s">
        <v>602</v>
      </c>
      <c r="D33" s="22"/>
      <c r="E33" s="23"/>
      <c r="F33" s="36"/>
      <c r="G33" s="28">
        <f t="shared" ref="G33:G37" si="5">D33*E33*F33/10000</f>
        <v>0</v>
      </c>
      <c r="H33" s="28" t="s">
        <v>511</v>
      </c>
      <c r="I33" s="43"/>
      <c r="J33" s="43"/>
      <c r="K33" s="43"/>
      <c r="L33" s="43"/>
      <c r="M33" s="58"/>
    </row>
    <row r="34" s="2" customFormat="1" ht="15" customHeight="1" outlineLevel="1" spans="1:13">
      <c r="A34" s="19" t="s">
        <v>622</v>
      </c>
      <c r="B34" s="20" t="s">
        <v>1808</v>
      </c>
      <c r="C34" s="22" t="s">
        <v>1806</v>
      </c>
      <c r="D34" s="22">
        <v>1</v>
      </c>
      <c r="E34" s="23" t="e">
        <f>#REF!</f>
        <v>#REF!</v>
      </c>
      <c r="F34" s="37" t="e">
        <f>#REF!</f>
        <v>#REF!</v>
      </c>
      <c r="G34" s="28" t="e">
        <f t="shared" si="5"/>
        <v>#REF!</v>
      </c>
      <c r="H34" s="28" t="e">
        <f>IF(G34=0,"",IF(#REF!=0,"",G34*10000/#REF!))</f>
        <v>#REF!</v>
      </c>
      <c r="I34" s="43"/>
      <c r="J34" s="43"/>
      <c r="K34" s="43"/>
      <c r="L34" s="43"/>
      <c r="M34" s="62"/>
    </row>
    <row r="35" s="2" customFormat="1" ht="15" customHeight="1" outlineLevel="1" spans="1:13">
      <c r="A35" s="19" t="s">
        <v>622</v>
      </c>
      <c r="B35" s="20" t="s">
        <v>2338</v>
      </c>
      <c r="C35" s="22" t="s">
        <v>505</v>
      </c>
      <c r="D35" s="22">
        <v>2</v>
      </c>
      <c r="E35" s="23" t="e">
        <f>#REF!*#REF!</f>
        <v>#REF!</v>
      </c>
      <c r="F35" s="37" t="e">
        <f>#REF!</f>
        <v>#REF!</v>
      </c>
      <c r="G35" s="28" t="e">
        <f t="shared" si="5"/>
        <v>#REF!</v>
      </c>
      <c r="H35" s="28" t="e">
        <f>IF(G35=0,"",IF(#REF!=0,"",G35*10000/#REF!))</f>
        <v>#REF!</v>
      </c>
      <c r="I35" s="43"/>
      <c r="J35" s="43"/>
      <c r="K35" s="43"/>
      <c r="L35" s="43"/>
      <c r="M35" s="58"/>
    </row>
    <row r="36" s="2" customFormat="1" ht="15" customHeight="1" outlineLevel="1" spans="1:13">
      <c r="A36" s="19" t="s">
        <v>622</v>
      </c>
      <c r="B36" s="20" t="s">
        <v>2307</v>
      </c>
      <c r="C36" s="22" t="s">
        <v>505</v>
      </c>
      <c r="D36" s="22">
        <v>1</v>
      </c>
      <c r="E36" s="23" t="e">
        <f>#REF!*#REF!</f>
        <v>#REF!</v>
      </c>
      <c r="F36" s="37" t="e">
        <f>#REF!</f>
        <v>#REF!</v>
      </c>
      <c r="G36" s="28" t="e">
        <f t="shared" si="5"/>
        <v>#REF!</v>
      </c>
      <c r="H36" s="28" t="e">
        <f>IF(G36=0,"",IF(#REF!=0,"",G36*10000/#REF!))</f>
        <v>#REF!</v>
      </c>
      <c r="I36" s="43"/>
      <c r="J36" s="43"/>
      <c r="K36" s="43"/>
      <c r="L36" s="43"/>
      <c r="M36" s="58"/>
    </row>
    <row r="37" s="2" customFormat="1" ht="18.75" customHeight="1" outlineLevel="1" spans="1:13">
      <c r="A37" s="19" t="s">
        <v>622</v>
      </c>
      <c r="B37" s="20" t="s">
        <v>1813</v>
      </c>
      <c r="C37" s="22" t="s">
        <v>505</v>
      </c>
      <c r="D37" s="22">
        <v>0.2</v>
      </c>
      <c r="E37" s="23" t="e">
        <f>#REF!</f>
        <v>#REF!</v>
      </c>
      <c r="F37" s="37" t="e">
        <f>#REF!</f>
        <v>#REF!</v>
      </c>
      <c r="G37" s="28" t="e">
        <f t="shared" si="5"/>
        <v>#REF!</v>
      </c>
      <c r="H37" s="28" t="e">
        <f>IF(G37=0,"",IF(#REF!=0,"",G37*10000/#REF!))</f>
        <v>#REF!</v>
      </c>
      <c r="I37" s="43"/>
      <c r="J37" s="43"/>
      <c r="K37" s="43"/>
      <c r="L37" s="43"/>
      <c r="M37" s="61" t="s">
        <v>2339</v>
      </c>
    </row>
    <row r="38" s="2" customFormat="1" ht="15" customHeight="1" spans="1:13">
      <c r="A38" s="1825" t="s">
        <v>2340</v>
      </c>
      <c r="B38" s="15" t="s">
        <v>2308</v>
      </c>
      <c r="C38" s="16"/>
      <c r="D38" s="16"/>
      <c r="E38" s="17"/>
      <c r="F38" s="88"/>
      <c r="G38" s="18" t="e">
        <f>SUM(G39:G47)</f>
        <v>#REF!</v>
      </c>
      <c r="H38" s="18" t="e">
        <f>IF(G38=0,"",IF(#REF!=0,"",G38*10000/#REF!))</f>
        <v>#REF!</v>
      </c>
      <c r="I38" s="57"/>
      <c r="J38" s="57"/>
      <c r="K38" s="57"/>
      <c r="L38" s="57"/>
      <c r="M38" s="58"/>
    </row>
    <row r="39" s="2" customFormat="1" ht="15" customHeight="1" outlineLevel="1" spans="1:13">
      <c r="A39" s="19" t="s">
        <v>622</v>
      </c>
      <c r="B39" s="45" t="s">
        <v>2341</v>
      </c>
      <c r="C39" s="21" t="s">
        <v>505</v>
      </c>
      <c r="D39" s="23" t="e">
        <f>#REF!</f>
        <v>#REF!</v>
      </c>
      <c r="E39" s="23">
        <v>50</v>
      </c>
      <c r="F39" s="37" t="e">
        <f>#REF!</f>
        <v>#REF!</v>
      </c>
      <c r="G39" s="28" t="e">
        <f>E39*F39*D39/10000</f>
        <v>#REF!</v>
      </c>
      <c r="H39" s="28" t="e">
        <f>IF(G39=0,"",IF(#REF!=0,"",G39*10000/#REF!))</f>
        <v>#REF!</v>
      </c>
      <c r="I39" s="43"/>
      <c r="J39" s="43"/>
      <c r="K39" s="43"/>
      <c r="L39" s="43"/>
      <c r="M39" s="58"/>
    </row>
    <row r="40" s="2" customFormat="1" ht="15" customHeight="1" outlineLevel="1" spans="1:13">
      <c r="A40" s="19" t="s">
        <v>622</v>
      </c>
      <c r="B40" s="45" t="s">
        <v>2312</v>
      </c>
      <c r="C40" s="21" t="s">
        <v>505</v>
      </c>
      <c r="D40" s="23" t="e">
        <f>#REF!*#REF!</f>
        <v>#REF!</v>
      </c>
      <c r="E40" s="23">
        <v>15</v>
      </c>
      <c r="F40" s="37" t="e">
        <f>#REF!</f>
        <v>#REF!</v>
      </c>
      <c r="G40" s="28" t="e">
        <f t="shared" ref="G40:G47" si="6">E40*F40*D40/10000</f>
        <v>#REF!</v>
      </c>
      <c r="H40" s="28" t="e">
        <f>IF(G40=0,"",IF(#REF!=0,"",G40*10000/#REF!))</f>
        <v>#REF!</v>
      </c>
      <c r="I40" s="43"/>
      <c r="J40" s="43"/>
      <c r="K40" s="43"/>
      <c r="L40" s="43"/>
      <c r="M40" s="58"/>
    </row>
    <row r="41" s="2" customFormat="1" ht="15" customHeight="1" outlineLevel="1" spans="1:13">
      <c r="A41" s="19" t="s">
        <v>622</v>
      </c>
      <c r="B41" s="45" t="s">
        <v>2342</v>
      </c>
      <c r="C41" s="21" t="s">
        <v>505</v>
      </c>
      <c r="D41" s="47">
        <f>D20</f>
        <v>0.9</v>
      </c>
      <c r="E41" s="23" t="e">
        <f>#REF!</f>
        <v>#REF!</v>
      </c>
      <c r="F41" s="37" t="e">
        <f>#REF!</f>
        <v>#REF!</v>
      </c>
      <c r="G41" s="28" t="e">
        <f t="shared" si="6"/>
        <v>#REF!</v>
      </c>
      <c r="H41" s="28" t="e">
        <f>IF(G41=0,"",IF(#REF!=0,"",G41*10000/#REF!))</f>
        <v>#REF!</v>
      </c>
      <c r="I41" s="43"/>
      <c r="J41" s="43"/>
      <c r="K41" s="43"/>
      <c r="L41" s="43"/>
      <c r="M41" s="58"/>
    </row>
    <row r="42" s="2" customFormat="1" ht="15" customHeight="1" outlineLevel="1" spans="1:13">
      <c r="A42" s="19" t="s">
        <v>622</v>
      </c>
      <c r="B42" s="45" t="s">
        <v>2343</v>
      </c>
      <c r="C42" s="21" t="s">
        <v>505</v>
      </c>
      <c r="D42" s="47">
        <f>D19</f>
        <v>0.5</v>
      </c>
      <c r="E42" s="23" t="e">
        <f>#REF!</f>
        <v>#REF!</v>
      </c>
      <c r="F42" s="37" t="e">
        <f>#REF!</f>
        <v>#REF!</v>
      </c>
      <c r="G42" s="28" t="e">
        <f t="shared" si="6"/>
        <v>#REF!</v>
      </c>
      <c r="H42" s="28" t="e">
        <f>IF(G42=0,"",IF(#REF!=0,"",G42*10000/#REF!))</f>
        <v>#REF!</v>
      </c>
      <c r="I42" s="43"/>
      <c r="J42" s="43"/>
      <c r="K42" s="43"/>
      <c r="L42" s="43"/>
      <c r="M42" s="58"/>
    </row>
    <row r="43" s="2" customFormat="1" ht="15" customHeight="1" outlineLevel="1" spans="1:13">
      <c r="A43" s="19" t="s">
        <v>622</v>
      </c>
      <c r="B43" s="45" t="s">
        <v>2344</v>
      </c>
      <c r="C43" s="21" t="s">
        <v>505</v>
      </c>
      <c r="D43" s="23" t="e">
        <f>D40</f>
        <v>#REF!</v>
      </c>
      <c r="E43" s="23">
        <v>5</v>
      </c>
      <c r="F43" s="37" t="e">
        <f>#REF!</f>
        <v>#REF!</v>
      </c>
      <c r="G43" s="28" t="e">
        <f t="shared" si="6"/>
        <v>#REF!</v>
      </c>
      <c r="H43" s="28" t="e">
        <f>IF(G43=0,"",IF(#REF!=0,"",G43*10000/#REF!))</f>
        <v>#REF!</v>
      </c>
      <c r="I43" s="43"/>
      <c r="J43" s="43"/>
      <c r="K43" s="43"/>
      <c r="L43" s="43"/>
      <c r="M43" s="58"/>
    </row>
    <row r="44" s="2" customFormat="1" ht="15" customHeight="1" outlineLevel="1" spans="1:13">
      <c r="A44" s="19" t="s">
        <v>622</v>
      </c>
      <c r="B44" s="45" t="s">
        <v>2311</v>
      </c>
      <c r="C44" s="21" t="s">
        <v>505</v>
      </c>
      <c r="D44" s="23" t="e">
        <f>#REF!*#REF!</f>
        <v>#REF!</v>
      </c>
      <c r="E44" s="23">
        <v>50</v>
      </c>
      <c r="F44" s="37" t="e">
        <f>#REF!</f>
        <v>#REF!</v>
      </c>
      <c r="G44" s="28" t="e">
        <f t="shared" si="6"/>
        <v>#REF!</v>
      </c>
      <c r="H44" s="28" t="e">
        <f>IF(G44=0,"",IF(#REF!=0,"",G44*10000/#REF!))</f>
        <v>#REF!</v>
      </c>
      <c r="I44" s="43"/>
      <c r="J44" s="43"/>
      <c r="K44" s="43"/>
      <c r="L44" s="43"/>
      <c r="M44" s="58"/>
    </row>
    <row r="45" s="2" customFormat="1" ht="15" customHeight="1" outlineLevel="1" spans="1:13">
      <c r="A45" s="19" t="s">
        <v>622</v>
      </c>
      <c r="B45" s="45" t="s">
        <v>2345</v>
      </c>
      <c r="C45" s="22" t="s">
        <v>862</v>
      </c>
      <c r="D45" s="47" t="e">
        <f>#REF!</f>
        <v>#REF!</v>
      </c>
      <c r="E45" s="23" t="e">
        <f>#REF!</f>
        <v>#REF!</v>
      </c>
      <c r="F45" s="37" t="e">
        <f>#REF!</f>
        <v>#REF!</v>
      </c>
      <c r="G45" s="28" t="e">
        <f t="shared" si="6"/>
        <v>#REF!</v>
      </c>
      <c r="H45" s="28" t="e">
        <f>IF(G45=0,"",IF(#REF!=0,"",G45*10000/#REF!))</f>
        <v>#REF!</v>
      </c>
      <c r="I45" s="43"/>
      <c r="J45" s="43"/>
      <c r="K45" s="43"/>
      <c r="L45" s="43"/>
      <c r="M45" s="58"/>
    </row>
    <row r="46" s="2" customFormat="1" ht="15" customHeight="1" outlineLevel="1" spans="1:13">
      <c r="A46" s="19" t="s">
        <v>622</v>
      </c>
      <c r="B46" s="45" t="s">
        <v>2306</v>
      </c>
      <c r="C46" s="21" t="s">
        <v>505</v>
      </c>
      <c r="D46" s="47" t="e">
        <f>#REF!</f>
        <v>#REF!</v>
      </c>
      <c r="E46" s="23" t="e">
        <f>#REF!</f>
        <v>#REF!</v>
      </c>
      <c r="F46" s="37" t="e">
        <f>#REF!</f>
        <v>#REF!</v>
      </c>
      <c r="G46" s="28" t="e">
        <f t="shared" si="6"/>
        <v>#REF!</v>
      </c>
      <c r="H46" s="28" t="e">
        <f>IF(G46=0,"",IF(#REF!=0,"",G46*10000/#REF!))</f>
        <v>#REF!</v>
      </c>
      <c r="I46" s="43"/>
      <c r="J46" s="43"/>
      <c r="K46" s="43"/>
      <c r="L46" s="43"/>
      <c r="M46" s="58"/>
    </row>
    <row r="47" s="2" customFormat="1" ht="15" customHeight="1" outlineLevel="1" spans="1:13">
      <c r="A47" s="19" t="s">
        <v>622</v>
      </c>
      <c r="B47" s="45" t="s">
        <v>2346</v>
      </c>
      <c r="C47" s="21" t="s">
        <v>505</v>
      </c>
      <c r="D47" s="47">
        <v>0.8</v>
      </c>
      <c r="E47" s="23" t="e">
        <f>#REF!</f>
        <v>#REF!</v>
      </c>
      <c r="F47" s="37" t="e">
        <f>#REF!</f>
        <v>#REF!</v>
      </c>
      <c r="G47" s="28" t="e">
        <f t="shared" si="6"/>
        <v>#REF!</v>
      </c>
      <c r="H47" s="28" t="e">
        <f>IF(G47=0,"",IF(#REF!=0,"",G47*10000/#REF!))</f>
        <v>#REF!</v>
      </c>
      <c r="I47" s="43"/>
      <c r="J47" s="43"/>
      <c r="K47" s="43"/>
      <c r="L47" s="43"/>
      <c r="M47" s="58"/>
    </row>
    <row r="48" s="2" customFormat="1" ht="15" customHeight="1" spans="1:13">
      <c r="A48" s="1825" t="s">
        <v>2347</v>
      </c>
      <c r="B48" s="15" t="s">
        <v>1705</v>
      </c>
      <c r="C48" s="16"/>
      <c r="D48" s="16">
        <v>1</v>
      </c>
      <c r="E48" s="17" t="e">
        <f>#REF!</f>
        <v>#REF!</v>
      </c>
      <c r="F48" s="88">
        <v>800</v>
      </c>
      <c r="G48" s="18" t="e">
        <f>D48*E48*F48/10000</f>
        <v>#REF!</v>
      </c>
      <c r="H48" s="18" t="e">
        <f>IF(G48=0,"",IF(#REF!=0,"",G48*10000/#REF!))</f>
        <v>#REF!</v>
      </c>
      <c r="I48" s="57"/>
      <c r="J48" s="57"/>
      <c r="K48" s="57"/>
      <c r="L48" s="57"/>
      <c r="M48" s="58"/>
    </row>
    <row r="49" s="2" customFormat="1" ht="15" customHeight="1" spans="1:13">
      <c r="A49" s="10" t="s">
        <v>2348</v>
      </c>
      <c r="B49" s="11" t="s">
        <v>2349</v>
      </c>
      <c r="C49" s="12"/>
      <c r="D49" s="12"/>
      <c r="E49" s="48"/>
      <c r="F49" s="87"/>
      <c r="G49" s="13" t="e">
        <f>G50+G67+G72</f>
        <v>#REF!</v>
      </c>
      <c r="H49" s="13" t="e">
        <f>IF(G49=0,"",IF(#REF!=0,"",G49*10000/#REF!))</f>
        <v>#REF!</v>
      </c>
      <c r="I49" s="55"/>
      <c r="J49" s="55"/>
      <c r="K49" s="55"/>
      <c r="L49" s="55"/>
      <c r="M49" s="63"/>
    </row>
    <row r="50" s="2" customFormat="1" ht="15" customHeight="1" spans="1:13">
      <c r="A50" s="1825" t="s">
        <v>2247</v>
      </c>
      <c r="B50" s="15" t="s">
        <v>2279</v>
      </c>
      <c r="C50" s="16"/>
      <c r="D50" s="16"/>
      <c r="E50" s="17"/>
      <c r="F50" s="88"/>
      <c r="G50" s="18" t="e">
        <f>G51+G59+G57+G58</f>
        <v>#REF!</v>
      </c>
      <c r="H50" s="18" t="e">
        <f>IF(G50=0,"",IF(#REF!=0,"",G50*10000/#REF!))</f>
        <v>#REF!</v>
      </c>
      <c r="I50" s="57"/>
      <c r="J50" s="57"/>
      <c r="K50" s="57"/>
      <c r="L50" s="57"/>
      <c r="M50" s="58"/>
    </row>
    <row r="51" s="2" customFormat="1" ht="15" customHeight="1" outlineLevel="1" spans="1:13">
      <c r="A51" s="19" t="s">
        <v>622</v>
      </c>
      <c r="B51" s="20" t="s">
        <v>2280</v>
      </c>
      <c r="C51" s="22" t="s">
        <v>505</v>
      </c>
      <c r="D51" s="49"/>
      <c r="E51" s="23"/>
      <c r="F51" s="36"/>
      <c r="G51" s="28" t="e">
        <f>SUM(G52:G56)</f>
        <v>#REF!</v>
      </c>
      <c r="H51" s="28" t="e">
        <f>IF(G51=0,"",IF(#REF!=0,"",G51*10000/#REF!))</f>
        <v>#REF!</v>
      </c>
      <c r="I51" s="43"/>
      <c r="J51" s="43"/>
      <c r="K51" s="43"/>
      <c r="L51" s="43"/>
      <c r="M51" s="58"/>
    </row>
    <row r="52" s="2" customFormat="1" ht="15" customHeight="1" outlineLevel="1" spans="1:13">
      <c r="A52" s="19"/>
      <c r="B52" s="50" t="s">
        <v>2350</v>
      </c>
      <c r="C52" s="21" t="s">
        <v>505</v>
      </c>
      <c r="D52" s="21">
        <v>1</v>
      </c>
      <c r="E52" s="23" t="e">
        <f>#REF!</f>
        <v>#REF!</v>
      </c>
      <c r="F52" s="36">
        <v>45</v>
      </c>
      <c r="G52" s="28" t="e">
        <f t="shared" ref="G52:G66" si="7">D52*E52*F52/10000</f>
        <v>#REF!</v>
      </c>
      <c r="H52" s="28"/>
      <c r="I52" s="43"/>
      <c r="J52" s="43"/>
      <c r="K52" s="43"/>
      <c r="L52" s="43"/>
      <c r="M52" s="58"/>
    </row>
    <row r="53" s="2" customFormat="1" ht="15" customHeight="1" outlineLevel="1" spans="1:13">
      <c r="A53" s="19"/>
      <c r="B53" s="50" t="s">
        <v>2351</v>
      </c>
      <c r="C53" s="21" t="s">
        <v>505</v>
      </c>
      <c r="D53" s="21">
        <v>1</v>
      </c>
      <c r="E53" s="23" t="e">
        <f>#REF!</f>
        <v>#REF!</v>
      </c>
      <c r="F53" s="36">
        <v>8</v>
      </c>
      <c r="G53" s="28" t="e">
        <f t="shared" si="7"/>
        <v>#REF!</v>
      </c>
      <c r="H53" s="28"/>
      <c r="I53" s="43"/>
      <c r="J53" s="43"/>
      <c r="K53" s="43"/>
      <c r="L53" s="43"/>
      <c r="M53" s="58"/>
    </row>
    <row r="54" s="2" customFormat="1" ht="15" customHeight="1" outlineLevel="1" spans="1:13">
      <c r="A54" s="19"/>
      <c r="B54" s="50" t="s">
        <v>2352</v>
      </c>
      <c r="C54" s="21" t="s">
        <v>505</v>
      </c>
      <c r="D54" s="21">
        <v>1</v>
      </c>
      <c r="E54" s="23" t="e">
        <f>#REF!</f>
        <v>#REF!</v>
      </c>
      <c r="F54" s="36">
        <v>17</v>
      </c>
      <c r="G54" s="28" t="e">
        <f t="shared" si="7"/>
        <v>#REF!</v>
      </c>
      <c r="H54" s="28"/>
      <c r="I54" s="43"/>
      <c r="J54" s="43"/>
      <c r="K54" s="43"/>
      <c r="L54" s="43"/>
      <c r="M54" s="58"/>
    </row>
    <row r="55" s="2" customFormat="1" ht="15" customHeight="1" outlineLevel="1" spans="1:13">
      <c r="A55" s="19"/>
      <c r="B55" s="45" t="s">
        <v>2353</v>
      </c>
      <c r="C55" s="21" t="s">
        <v>505</v>
      </c>
      <c r="D55" s="21">
        <v>1</v>
      </c>
      <c r="E55" s="23" t="e">
        <f>#REF!</f>
        <v>#REF!</v>
      </c>
      <c r="F55" s="391">
        <v>6</v>
      </c>
      <c r="G55" s="28" t="e">
        <f t="shared" si="7"/>
        <v>#REF!</v>
      </c>
      <c r="H55" s="28"/>
      <c r="I55" s="43"/>
      <c r="J55" s="43"/>
      <c r="K55" s="43"/>
      <c r="L55" s="43"/>
      <c r="M55" s="58"/>
    </row>
    <row r="56" s="2" customFormat="1" ht="15" customHeight="1" outlineLevel="1" spans="1:13">
      <c r="A56" s="19"/>
      <c r="B56" s="45" t="s">
        <v>2354</v>
      </c>
      <c r="C56" s="21" t="s">
        <v>505</v>
      </c>
      <c r="D56" s="21">
        <v>1</v>
      </c>
      <c r="E56" s="23" t="e">
        <f>#REF!</f>
        <v>#REF!</v>
      </c>
      <c r="F56" s="36">
        <v>50</v>
      </c>
      <c r="G56" s="28" t="e">
        <f t="shared" si="7"/>
        <v>#REF!</v>
      </c>
      <c r="H56" s="28"/>
      <c r="I56" s="43"/>
      <c r="J56" s="43"/>
      <c r="K56" s="43"/>
      <c r="L56" s="43"/>
      <c r="M56" s="58"/>
    </row>
    <row r="57" s="2" customFormat="1" ht="16.5" customHeight="1" outlineLevel="1" spans="1:13">
      <c r="A57" s="19" t="s">
        <v>622</v>
      </c>
      <c r="B57" s="20" t="s">
        <v>2284</v>
      </c>
      <c r="C57" s="21" t="s">
        <v>505</v>
      </c>
      <c r="D57" s="21"/>
      <c r="E57" s="23"/>
      <c r="F57" s="36"/>
      <c r="G57" s="28">
        <f t="shared" si="7"/>
        <v>0</v>
      </c>
      <c r="H57" s="28" t="s">
        <v>511</v>
      </c>
      <c r="I57" s="43"/>
      <c r="J57" s="43"/>
      <c r="K57" s="43"/>
      <c r="L57" s="43"/>
      <c r="M57" s="58"/>
    </row>
    <row r="58" s="2" customFormat="1" ht="15" customHeight="1" outlineLevel="1" spans="1:13">
      <c r="A58" s="19" t="s">
        <v>622</v>
      </c>
      <c r="B58" s="20" t="s">
        <v>2355</v>
      </c>
      <c r="C58" s="21" t="s">
        <v>601</v>
      </c>
      <c r="D58" s="21">
        <v>1</v>
      </c>
      <c r="E58" s="23"/>
      <c r="F58" s="36"/>
      <c r="G58" s="28">
        <f t="shared" si="7"/>
        <v>0</v>
      </c>
      <c r="H58" s="28" t="s">
        <v>511</v>
      </c>
      <c r="I58" s="43"/>
      <c r="J58" s="43"/>
      <c r="K58" s="43"/>
      <c r="L58" s="43"/>
      <c r="M58" s="58"/>
    </row>
    <row r="59" s="2" customFormat="1" ht="15" customHeight="1" outlineLevel="1" spans="1:13">
      <c r="A59" s="19" t="s">
        <v>622</v>
      </c>
      <c r="B59" s="20" t="s">
        <v>2285</v>
      </c>
      <c r="C59" s="22" t="s">
        <v>505</v>
      </c>
      <c r="D59" s="49"/>
      <c r="E59" s="23"/>
      <c r="F59" s="36"/>
      <c r="G59" s="28" t="e">
        <f>SUM(G60:G66)</f>
        <v>#REF!</v>
      </c>
      <c r="H59" s="28" t="e">
        <f>IF(G59=0,"",IF(#REF!=0,"",G59*10000/#REF!))</f>
        <v>#REF!</v>
      </c>
      <c r="I59" s="43"/>
      <c r="J59" s="43"/>
      <c r="K59" s="43"/>
      <c r="L59" s="43"/>
      <c r="M59" s="74"/>
    </row>
    <row r="60" s="2" customFormat="1" ht="15" customHeight="1" outlineLevel="1" spans="1:13">
      <c r="A60" s="19"/>
      <c r="B60" s="45" t="s">
        <v>2356</v>
      </c>
      <c r="C60" s="21" t="s">
        <v>505</v>
      </c>
      <c r="D60" s="21">
        <v>1</v>
      </c>
      <c r="E60" s="23" t="e">
        <f>#REF!</f>
        <v>#REF!</v>
      </c>
      <c r="F60" s="36">
        <v>45</v>
      </c>
      <c r="G60" s="28" t="e">
        <f t="shared" si="7"/>
        <v>#REF!</v>
      </c>
      <c r="H60" s="28"/>
      <c r="I60" s="43"/>
      <c r="J60" s="43"/>
      <c r="K60" s="43"/>
      <c r="L60" s="43"/>
      <c r="M60" s="58"/>
    </row>
    <row r="61" s="2" customFormat="1" ht="15" customHeight="1" outlineLevel="1" spans="1:13">
      <c r="A61" s="19"/>
      <c r="B61" s="45" t="s">
        <v>2357</v>
      </c>
      <c r="C61" s="21" t="s">
        <v>505</v>
      </c>
      <c r="D61" s="21">
        <v>1</v>
      </c>
      <c r="E61" s="23" t="e">
        <f>#REF!</f>
        <v>#REF!</v>
      </c>
      <c r="F61" s="36">
        <v>12</v>
      </c>
      <c r="G61" s="28" t="e">
        <f t="shared" si="7"/>
        <v>#REF!</v>
      </c>
      <c r="H61" s="28"/>
      <c r="I61" s="43"/>
      <c r="J61" s="43"/>
      <c r="K61" s="43"/>
      <c r="L61" s="43"/>
      <c r="M61" s="58"/>
    </row>
    <row r="62" s="2" customFormat="1" ht="15" customHeight="1" outlineLevel="1" spans="1:13">
      <c r="A62" s="19"/>
      <c r="B62" s="45" t="s">
        <v>2288</v>
      </c>
      <c r="C62" s="21" t="s">
        <v>505</v>
      </c>
      <c r="D62" s="21">
        <v>1</v>
      </c>
      <c r="E62" s="23" t="e">
        <f>#REF!</f>
        <v>#REF!</v>
      </c>
      <c r="F62" s="36">
        <v>30</v>
      </c>
      <c r="G62" s="28" t="e">
        <f t="shared" si="7"/>
        <v>#REF!</v>
      </c>
      <c r="H62" s="28"/>
      <c r="I62" s="43"/>
      <c r="J62" s="43"/>
      <c r="K62" s="43"/>
      <c r="L62" s="43"/>
      <c r="M62" s="58"/>
    </row>
    <row r="63" s="2" customFormat="1" ht="15" customHeight="1" outlineLevel="1" spans="1:13">
      <c r="A63" s="19"/>
      <c r="B63" s="64" t="s">
        <v>2289</v>
      </c>
      <c r="C63" s="65" t="s">
        <v>505</v>
      </c>
      <c r="D63" s="65">
        <v>1</v>
      </c>
      <c r="E63" s="23" t="e">
        <f>#REF!</f>
        <v>#REF!</v>
      </c>
      <c r="F63" s="36">
        <v>1</v>
      </c>
      <c r="G63" s="28" t="e">
        <f t="shared" si="7"/>
        <v>#REF!</v>
      </c>
      <c r="H63" s="28"/>
      <c r="I63" s="43"/>
      <c r="J63" s="43"/>
      <c r="K63" s="43"/>
      <c r="L63" s="43"/>
      <c r="M63" s="58"/>
    </row>
    <row r="64" s="2" customFormat="1" ht="15" customHeight="1" outlineLevel="1" spans="1:13">
      <c r="A64" s="19"/>
      <c r="B64" s="64" t="s">
        <v>2290</v>
      </c>
      <c r="C64" s="65" t="s">
        <v>505</v>
      </c>
      <c r="D64" s="65">
        <v>1</v>
      </c>
      <c r="E64" s="23" t="e">
        <f>#REF!</f>
        <v>#REF!</v>
      </c>
      <c r="F64" s="36">
        <v>5</v>
      </c>
      <c r="G64" s="28" t="e">
        <f t="shared" si="7"/>
        <v>#REF!</v>
      </c>
      <c r="H64" s="28"/>
      <c r="I64" s="43"/>
      <c r="J64" s="43"/>
      <c r="K64" s="43"/>
      <c r="L64" s="43"/>
      <c r="M64" s="58"/>
    </row>
    <row r="65" s="2" customFormat="1" ht="15" customHeight="1" outlineLevel="1" spans="1:13">
      <c r="A65" s="19"/>
      <c r="B65" s="45" t="s">
        <v>2358</v>
      </c>
      <c r="C65" s="21" t="s">
        <v>601</v>
      </c>
      <c r="D65" s="21">
        <v>1</v>
      </c>
      <c r="E65" s="23" t="e">
        <f>#REF!</f>
        <v>#REF!</v>
      </c>
      <c r="F65" s="36">
        <v>100</v>
      </c>
      <c r="G65" s="28" t="e">
        <f t="shared" si="7"/>
        <v>#REF!</v>
      </c>
      <c r="H65" s="28"/>
      <c r="I65" s="43"/>
      <c r="J65" s="43"/>
      <c r="K65" s="43"/>
      <c r="L65" s="43"/>
      <c r="M65" s="58"/>
    </row>
    <row r="66" s="2" customFormat="1" ht="15" customHeight="1" outlineLevel="1" spans="1:13">
      <c r="A66" s="19"/>
      <c r="B66" s="45" t="s">
        <v>2359</v>
      </c>
      <c r="C66" s="21" t="s">
        <v>601</v>
      </c>
      <c r="D66" s="21">
        <v>1</v>
      </c>
      <c r="E66" s="23" t="e">
        <f>#REF!</f>
        <v>#REF!</v>
      </c>
      <c r="F66" s="36">
        <v>550</v>
      </c>
      <c r="G66" s="28" t="e">
        <f t="shared" si="7"/>
        <v>#REF!</v>
      </c>
      <c r="H66" s="28"/>
      <c r="I66" s="43"/>
      <c r="J66" s="43"/>
      <c r="K66" s="43"/>
      <c r="L66" s="43"/>
      <c r="M66" s="58"/>
    </row>
    <row r="67" s="2" customFormat="1" ht="15" customHeight="1" spans="1:13">
      <c r="A67" s="1825" t="s">
        <v>2257</v>
      </c>
      <c r="B67" s="15" t="s">
        <v>2291</v>
      </c>
      <c r="C67" s="16"/>
      <c r="D67" s="16"/>
      <c r="E67" s="17"/>
      <c r="F67" s="88"/>
      <c r="G67" s="18" t="e">
        <f>G68+G70+G71</f>
        <v>#REF!</v>
      </c>
      <c r="H67" s="18" t="e">
        <f>IF(G67=0,"",IF(#REF!=0,"",G67*10000/#REF!))</f>
        <v>#REF!</v>
      </c>
      <c r="I67" s="57"/>
      <c r="J67" s="57"/>
      <c r="K67" s="57"/>
      <c r="L67" s="57"/>
      <c r="M67" s="58"/>
    </row>
    <row r="68" s="2" customFormat="1" ht="15" customHeight="1" outlineLevel="1" spans="1:13">
      <c r="A68" s="19" t="s">
        <v>622</v>
      </c>
      <c r="B68" s="20" t="s">
        <v>2293</v>
      </c>
      <c r="C68" s="66" t="s">
        <v>602</v>
      </c>
      <c r="D68" s="22"/>
      <c r="E68" s="23"/>
      <c r="F68" s="36"/>
      <c r="G68" s="28" t="e">
        <f>SUM(G69:G69)</f>
        <v>#REF!</v>
      </c>
      <c r="H68" s="28" t="e">
        <f>IF(G68=0,"",IF(#REF!=0,"",G68*10000/#REF!))</f>
        <v>#REF!</v>
      </c>
      <c r="I68" s="43"/>
      <c r="J68" s="43"/>
      <c r="K68" s="43"/>
      <c r="L68" s="43"/>
      <c r="M68" s="58"/>
    </row>
    <row r="69" s="2" customFormat="1" ht="15.9" customHeight="1" outlineLevel="1" spans="1:13">
      <c r="A69" s="19"/>
      <c r="B69" s="28" t="s">
        <v>2360</v>
      </c>
      <c r="C69" s="66"/>
      <c r="D69" s="22">
        <v>2</v>
      </c>
      <c r="E69" s="23" t="e">
        <f>#REF!</f>
        <v>#REF!</v>
      </c>
      <c r="F69" s="392">
        <v>270000</v>
      </c>
      <c r="G69" s="28" t="e">
        <f>D69*E69*F69/10000</f>
        <v>#REF!</v>
      </c>
      <c r="H69" s="28"/>
      <c r="I69" s="43"/>
      <c r="J69" s="43"/>
      <c r="K69" s="43"/>
      <c r="L69" s="43"/>
      <c r="M69" s="58"/>
    </row>
    <row r="70" s="2" customFormat="1" ht="15" customHeight="1" outlineLevel="1" spans="1:13">
      <c r="A70" s="19" t="s">
        <v>622</v>
      </c>
      <c r="B70" s="20" t="s">
        <v>2361</v>
      </c>
      <c r="C70" s="66"/>
      <c r="D70" s="22"/>
      <c r="E70" s="23"/>
      <c r="F70" s="36"/>
      <c r="G70" s="28">
        <f t="shared" ref="G70:G75" si="8">E70*F70/10000</f>
        <v>0</v>
      </c>
      <c r="H70" s="28" t="s">
        <v>511</v>
      </c>
      <c r="I70" s="43"/>
      <c r="J70" s="43"/>
      <c r="K70" s="43"/>
      <c r="L70" s="43"/>
      <c r="M70" s="58"/>
    </row>
    <row r="71" s="2" customFormat="1" ht="15" customHeight="1" outlineLevel="1" spans="1:13">
      <c r="A71" s="19" t="s">
        <v>622</v>
      </c>
      <c r="B71" s="20" t="s">
        <v>2295</v>
      </c>
      <c r="C71" s="22" t="s">
        <v>505</v>
      </c>
      <c r="D71" s="21">
        <v>1</v>
      </c>
      <c r="E71" s="23" t="e">
        <f>#REF!</f>
        <v>#REF!</v>
      </c>
      <c r="F71" s="393">
        <v>23</v>
      </c>
      <c r="G71" s="28" t="e">
        <f>D71*E71*F71/10000</f>
        <v>#REF!</v>
      </c>
      <c r="H71" s="28" t="e">
        <f>IF(G71=0,"",IF(#REF!=0,"",G71*10000/#REF!))</f>
        <v>#REF!</v>
      </c>
      <c r="I71" s="43"/>
      <c r="J71" s="43"/>
      <c r="K71" s="43"/>
      <c r="L71" s="43"/>
      <c r="M71" s="58"/>
    </row>
    <row r="72" s="2" customFormat="1" ht="15" customHeight="1" spans="1:13">
      <c r="A72" s="1825" t="s">
        <v>2362</v>
      </c>
      <c r="B72" s="15" t="s">
        <v>2363</v>
      </c>
      <c r="C72" s="16"/>
      <c r="D72" s="16"/>
      <c r="E72" s="17"/>
      <c r="F72" s="88"/>
      <c r="G72" s="18" t="e">
        <f>SUM(G73:G75)</f>
        <v>#REF!</v>
      </c>
      <c r="H72" s="18" t="e">
        <f>IF(G72=0,"",IF(#REF!=0,"",G72*10000/#REF!))</f>
        <v>#REF!</v>
      </c>
      <c r="I72" s="57"/>
      <c r="J72" s="57"/>
      <c r="K72" s="57"/>
      <c r="L72" s="57"/>
      <c r="M72" s="74" t="s">
        <v>2364</v>
      </c>
    </row>
    <row r="73" s="2" customFormat="1" ht="15" customHeight="1" outlineLevel="1" spans="1:13">
      <c r="A73" s="19" t="s">
        <v>622</v>
      </c>
      <c r="B73" s="20" t="s">
        <v>2365</v>
      </c>
      <c r="C73" s="66" t="s">
        <v>601</v>
      </c>
      <c r="D73" s="21">
        <v>1</v>
      </c>
      <c r="E73" s="23" t="e">
        <f>#REF!</f>
        <v>#REF!</v>
      </c>
      <c r="F73" s="36">
        <v>1200</v>
      </c>
      <c r="G73" s="28" t="e">
        <f t="shared" si="8"/>
        <v>#REF!</v>
      </c>
      <c r="H73" s="28" t="e">
        <f>IF(G73=0,"",IF(#REF!=0,"",G73*10000/#REF!))</f>
        <v>#REF!</v>
      </c>
      <c r="I73" s="43"/>
      <c r="J73" s="43"/>
      <c r="K73" s="43"/>
      <c r="L73" s="43"/>
      <c r="M73" s="58" t="s">
        <v>2366</v>
      </c>
    </row>
    <row r="74" s="2" customFormat="1" ht="15" customHeight="1" outlineLevel="1" spans="1:13">
      <c r="A74" s="19" t="s">
        <v>622</v>
      </c>
      <c r="B74" s="20" t="s">
        <v>2367</v>
      </c>
      <c r="C74" s="66" t="s">
        <v>601</v>
      </c>
      <c r="D74" s="21">
        <v>1</v>
      </c>
      <c r="E74" s="23" t="e">
        <f>#REF!</f>
        <v>#REF!</v>
      </c>
      <c r="F74" s="36">
        <v>500</v>
      </c>
      <c r="G74" s="28" t="e">
        <f t="shared" si="8"/>
        <v>#REF!</v>
      </c>
      <c r="H74" s="28" t="e">
        <f>IF(G74=0,"",IF(#REF!=0,"",G74*10000/#REF!))</f>
        <v>#REF!</v>
      </c>
      <c r="I74" s="43"/>
      <c r="J74" s="43"/>
      <c r="K74" s="43"/>
      <c r="L74" s="43"/>
      <c r="M74" s="58"/>
    </row>
    <row r="75" s="2" customFormat="1" ht="15" customHeight="1" outlineLevel="1" spans="1:13">
      <c r="A75" s="68" t="s">
        <v>622</v>
      </c>
      <c r="B75" s="69" t="s">
        <v>2368</v>
      </c>
      <c r="C75" s="70" t="s">
        <v>601</v>
      </c>
      <c r="D75" s="71"/>
      <c r="E75" s="72"/>
      <c r="F75" s="99"/>
      <c r="G75" s="73">
        <f t="shared" si="8"/>
        <v>0</v>
      </c>
      <c r="H75" s="73" t="s">
        <v>511</v>
      </c>
      <c r="I75" s="75"/>
      <c r="J75" s="75"/>
      <c r="K75" s="75"/>
      <c r="L75" s="75"/>
      <c r="M75" s="76"/>
    </row>
  </sheetData>
  <mergeCells count="1">
    <mergeCell ref="C1:E1"/>
  </mergeCells>
  <pageMargins left="0.75" right="0.75" top="1" bottom="1" header="0.5" footer="0.5"/>
  <pageSetup paperSize="9" orientation="portrait" horizontalDpi="300" verticalDpi="300"/>
  <headerFooter alignWithMargins="0"/>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D170"/>
  <sheetViews>
    <sheetView showZeros="0" workbookViewId="0">
      <pane xSplit="4" ySplit="8" topLeftCell="E42" activePane="bottomRight" state="frozenSplit"/>
      <selection/>
      <selection pane="topRight"/>
      <selection pane="bottomLeft"/>
      <selection pane="bottomRight" activeCell="G48" sqref="G48"/>
    </sheetView>
  </sheetViews>
  <sheetFormatPr defaultColWidth="9" defaultRowHeight="11.25"/>
  <cols>
    <col min="1" max="1" width="0.6" style="168" customWidth="1"/>
    <col min="2" max="2" width="8.4" style="168" customWidth="1"/>
    <col min="3" max="3" width="19.9" style="168" customWidth="1"/>
    <col min="4" max="4" width="17.1" style="166" customWidth="1"/>
    <col min="5" max="5" width="8.1" style="166" customWidth="1"/>
    <col min="6" max="6" width="10.1" style="166" customWidth="1"/>
    <col min="7" max="7" width="9.9" style="166" customWidth="1"/>
    <col min="8" max="8" width="9.1" style="166" customWidth="1"/>
    <col min="9" max="9" width="10.1" style="169" customWidth="1"/>
    <col min="10" max="10" width="9.5" style="169" customWidth="1"/>
    <col min="11" max="11" width="18.5" style="168" customWidth="1"/>
    <col min="12" max="12" width="9.5" style="170" customWidth="1"/>
    <col min="13" max="13" width="5.6" style="171" customWidth="1"/>
    <col min="14" max="14" width="4.1" style="171" customWidth="1"/>
    <col min="15" max="15" width="5" style="171" customWidth="1"/>
    <col min="16" max="16" width="9" style="168" customWidth="1"/>
    <col min="17" max="20" width="9.1" style="168" customWidth="1"/>
    <col min="21" max="22" width="9" style="168" customWidth="1"/>
    <col min="23" max="23" width="9.1" style="168" customWidth="1"/>
    <col min="24" max="24" width="12.5" style="168" customWidth="1"/>
    <col min="25" max="25" width="9.1" style="168" customWidth="1"/>
    <col min="26" max="16384" width="9" style="168"/>
  </cols>
  <sheetData>
    <row r="1" ht="17.85" customHeight="1" spans="3:30">
      <c r="C1" s="172" t="e">
        <f>#REF!</f>
        <v>#REF!</v>
      </c>
      <c r="D1" s="173" t="s">
        <v>1524</v>
      </c>
      <c r="E1" s="173"/>
      <c r="F1" s="174"/>
      <c r="G1" s="175"/>
      <c r="P1" s="216" t="s">
        <v>2369</v>
      </c>
      <c r="Q1" s="253"/>
      <c r="R1" s="253"/>
      <c r="S1" s="253"/>
      <c r="T1" s="253"/>
      <c r="U1" s="253" t="s">
        <v>2370</v>
      </c>
      <c r="V1" s="253"/>
      <c r="W1" s="253"/>
      <c r="X1" s="253"/>
      <c r="Y1" s="253"/>
      <c r="Z1" s="253" t="s">
        <v>2371</v>
      </c>
      <c r="AA1" s="253"/>
      <c r="AB1" s="253"/>
      <c r="AC1" s="253"/>
      <c r="AD1" s="272"/>
    </row>
    <row r="2" spans="2:30">
      <c r="B2" s="176" t="s">
        <v>2372</v>
      </c>
      <c r="C2" s="177" t="s">
        <v>46</v>
      </c>
      <c r="D2" s="178" t="e">
        <f>C1</f>
        <v>#REF!</v>
      </c>
      <c r="E2" s="179"/>
      <c r="F2" s="179"/>
      <c r="G2" s="180" t="s">
        <v>2373</v>
      </c>
      <c r="H2" s="180"/>
      <c r="I2" s="217" t="s">
        <v>2374</v>
      </c>
      <c r="K2" s="176" t="s">
        <v>1453</v>
      </c>
      <c r="L2" s="218" t="s">
        <v>486</v>
      </c>
      <c r="P2" s="219" t="s">
        <v>2375</v>
      </c>
      <c r="Q2" s="254" t="s">
        <v>2376</v>
      </c>
      <c r="R2" s="254" t="s">
        <v>2377</v>
      </c>
      <c r="S2" s="254" t="s">
        <v>2374</v>
      </c>
      <c r="T2" s="254" t="s">
        <v>2378</v>
      </c>
      <c r="U2" s="254" t="s">
        <v>2375</v>
      </c>
      <c r="V2" s="254" t="s">
        <v>2376</v>
      </c>
      <c r="W2" s="254" t="s">
        <v>2377</v>
      </c>
      <c r="X2" s="254" t="s">
        <v>2374</v>
      </c>
      <c r="Y2" s="254" t="s">
        <v>2378</v>
      </c>
      <c r="Z2" s="254" t="s">
        <v>2375</v>
      </c>
      <c r="AA2" s="254" t="s">
        <v>2376</v>
      </c>
      <c r="AB2" s="254" t="s">
        <v>2377</v>
      </c>
      <c r="AC2" s="254" t="s">
        <v>2374</v>
      </c>
      <c r="AD2" s="273" t="s">
        <v>2378</v>
      </c>
    </row>
    <row r="3" ht="22.5" spans="2:30">
      <c r="B3" s="181" t="s">
        <v>2379</v>
      </c>
      <c r="C3" s="182" t="s">
        <v>862</v>
      </c>
      <c r="D3" s="183" t="e">
        <f>#REF!</f>
        <v>#REF!</v>
      </c>
      <c r="E3" s="182" t="s">
        <v>600</v>
      </c>
      <c r="F3" s="184" t="e">
        <f>#REF!</f>
        <v>#REF!</v>
      </c>
      <c r="G3" s="185" t="s">
        <v>2380</v>
      </c>
      <c r="H3" s="185"/>
      <c r="I3" s="220">
        <v>4</v>
      </c>
      <c r="K3" s="221" t="s">
        <v>1524</v>
      </c>
      <c r="L3" s="222" t="e">
        <f>SUM(L4:L5)</f>
        <v>#REF!</v>
      </c>
      <c r="O3" s="166" t="s">
        <v>2381</v>
      </c>
      <c r="P3" s="223">
        <v>3.3</v>
      </c>
      <c r="Q3" s="255">
        <v>3.15</v>
      </c>
      <c r="R3" s="255">
        <v>3</v>
      </c>
      <c r="S3" s="255">
        <v>2.8</v>
      </c>
      <c r="T3" s="255">
        <v>2.8</v>
      </c>
      <c r="U3" s="236"/>
      <c r="V3" s="236"/>
      <c r="W3" s="236"/>
      <c r="X3" s="236"/>
      <c r="Y3" s="236"/>
      <c r="Z3" s="236"/>
      <c r="AA3" s="236"/>
      <c r="AB3" s="236"/>
      <c r="AC3" s="236"/>
      <c r="AD3" s="98"/>
    </row>
    <row r="4" ht="22.5" spans="2:30">
      <c r="B4" s="181"/>
      <c r="C4" s="182" t="s">
        <v>505</v>
      </c>
      <c r="D4" s="183" t="e">
        <f>#REF!</f>
        <v>#REF!</v>
      </c>
      <c r="E4" s="182" t="s">
        <v>602</v>
      </c>
      <c r="F4" s="184" t="e">
        <f>#REF!</f>
        <v>#REF!</v>
      </c>
      <c r="G4" s="185" t="s">
        <v>2382</v>
      </c>
      <c r="H4" s="185"/>
      <c r="I4" s="220">
        <v>6</v>
      </c>
      <c r="K4" s="224" t="s">
        <v>2323</v>
      </c>
      <c r="L4" s="222" t="e">
        <f>J9</f>
        <v>#REF!</v>
      </c>
      <c r="O4" s="166" t="s">
        <v>2383</v>
      </c>
      <c r="P4" s="223"/>
      <c r="Q4" s="95"/>
      <c r="R4" s="95"/>
      <c r="S4" s="95">
        <v>4.2</v>
      </c>
      <c r="T4" s="256">
        <v>0</v>
      </c>
      <c r="U4" s="236"/>
      <c r="V4" s="236"/>
      <c r="W4" s="236"/>
      <c r="X4" s="236"/>
      <c r="Y4" s="236"/>
      <c r="Z4" s="236"/>
      <c r="AA4" s="236"/>
      <c r="AB4" s="236"/>
      <c r="AC4" s="236"/>
      <c r="AD4" s="98"/>
    </row>
    <row r="5" ht="34.5" spans="2:30">
      <c r="B5" s="181"/>
      <c r="C5" s="182" t="s">
        <v>2384</v>
      </c>
      <c r="D5" s="183" t="e">
        <f>#REF!</f>
        <v>#REF!</v>
      </c>
      <c r="E5" s="182" t="s">
        <v>2385</v>
      </c>
      <c r="F5" s="184" t="e">
        <f>F4*(D6+2)</f>
        <v>#REF!</v>
      </c>
      <c r="G5" s="185" t="s">
        <v>2386</v>
      </c>
      <c r="H5" s="185"/>
      <c r="I5" s="220" t="e">
        <f>#REF!</f>
        <v>#REF!</v>
      </c>
      <c r="K5" s="224" t="s">
        <v>2349</v>
      </c>
      <c r="L5" s="222" t="e">
        <f>J50</f>
        <v>#REF!</v>
      </c>
      <c r="O5" s="166" t="s">
        <v>2387</v>
      </c>
      <c r="P5" s="225" t="s">
        <v>2388</v>
      </c>
      <c r="Q5" s="257" t="s">
        <v>2388</v>
      </c>
      <c r="R5" s="257" t="s">
        <v>2389</v>
      </c>
      <c r="S5" s="257" t="s">
        <v>2389</v>
      </c>
      <c r="T5" s="257" t="s">
        <v>2389</v>
      </c>
      <c r="U5" s="258"/>
      <c r="V5" s="258"/>
      <c r="W5" s="258"/>
      <c r="X5" s="258"/>
      <c r="Y5" s="258"/>
      <c r="Z5" s="258"/>
      <c r="AA5" s="258"/>
      <c r="AB5" s="258"/>
      <c r="AC5" s="258"/>
      <c r="AD5" s="274"/>
    </row>
    <row r="6" ht="15.6" customHeight="1" spans="2:12">
      <c r="B6" s="186"/>
      <c r="C6" s="187" t="s">
        <v>2390</v>
      </c>
      <c r="D6" s="188" t="e">
        <f>#REF!</f>
        <v>#REF!</v>
      </c>
      <c r="E6" s="187" t="s">
        <v>2381</v>
      </c>
      <c r="F6" s="189">
        <f>HLOOKUP(I2,$P$2:$T$4,2,FALSE)</f>
        <v>2.8</v>
      </c>
      <c r="G6" s="190" t="s">
        <v>2391</v>
      </c>
      <c r="H6" s="190"/>
      <c r="I6" s="226">
        <f>HLOOKUP(I2,$P$2:$T$4,3,FALSE)</f>
        <v>4.2</v>
      </c>
      <c r="K6" s="227" t="s">
        <v>2392</v>
      </c>
      <c r="L6" s="228" t="e">
        <f>J140</f>
        <v>#REF!</v>
      </c>
    </row>
    <row r="7" ht="14.25" spans="3:30">
      <c r="C7" s="172"/>
      <c r="D7" s="173"/>
      <c r="E7" s="173"/>
      <c r="F7" s="174"/>
      <c r="G7" s="175"/>
      <c r="P7" s="216" t="s">
        <v>2369</v>
      </c>
      <c r="Q7" s="253"/>
      <c r="R7" s="253"/>
      <c r="S7" s="253"/>
      <c r="T7" s="259"/>
      <c r="U7" s="260" t="s">
        <v>2370</v>
      </c>
      <c r="V7" s="253"/>
      <c r="W7" s="253"/>
      <c r="X7" s="253"/>
      <c r="Y7" s="275"/>
      <c r="Z7" s="276" t="s">
        <v>2371</v>
      </c>
      <c r="AA7" s="253"/>
      <c r="AB7" s="253"/>
      <c r="AC7" s="253"/>
      <c r="AD7" s="272"/>
    </row>
    <row r="8" s="166" customFormat="1" ht="22.5" spans="2:30">
      <c r="B8" s="191" t="s">
        <v>21</v>
      </c>
      <c r="C8" s="101" t="s">
        <v>494</v>
      </c>
      <c r="D8" s="100" t="s">
        <v>606</v>
      </c>
      <c r="E8" s="100" t="s">
        <v>607</v>
      </c>
      <c r="F8" s="100" t="s">
        <v>608</v>
      </c>
      <c r="G8" s="100" t="s">
        <v>609</v>
      </c>
      <c r="H8" s="101" t="s">
        <v>2240</v>
      </c>
      <c r="I8" s="52" t="s">
        <v>2241</v>
      </c>
      <c r="J8" s="52" t="s">
        <v>2393</v>
      </c>
      <c r="K8" s="101" t="s">
        <v>1300</v>
      </c>
      <c r="L8" s="229" t="s">
        <v>2394</v>
      </c>
      <c r="M8" s="171">
        <v>1</v>
      </c>
      <c r="N8" s="171"/>
      <c r="O8" s="171"/>
      <c r="P8" s="219" t="s">
        <v>2375</v>
      </c>
      <c r="Q8" s="254" t="s">
        <v>2376</v>
      </c>
      <c r="R8" s="254" t="s">
        <v>2377</v>
      </c>
      <c r="S8" s="254" t="s">
        <v>2374</v>
      </c>
      <c r="T8" s="261" t="s">
        <v>2378</v>
      </c>
      <c r="U8" s="262" t="s">
        <v>2375</v>
      </c>
      <c r="V8" s="254" t="s">
        <v>2376</v>
      </c>
      <c r="W8" s="254" t="s">
        <v>2377</v>
      </c>
      <c r="X8" s="254" t="s">
        <v>2374</v>
      </c>
      <c r="Y8" s="277" t="s">
        <v>2378</v>
      </c>
      <c r="Z8" s="278" t="s">
        <v>2375</v>
      </c>
      <c r="AA8" s="254" t="s">
        <v>2376</v>
      </c>
      <c r="AB8" s="254" t="s">
        <v>2377</v>
      </c>
      <c r="AC8" s="254" t="s">
        <v>2374</v>
      </c>
      <c r="AD8" s="273" t="s">
        <v>2378</v>
      </c>
    </row>
    <row r="9" ht="17.1" customHeight="1" spans="2:30">
      <c r="B9" s="102" t="s">
        <v>533</v>
      </c>
      <c r="C9" s="103" t="s">
        <v>2246</v>
      </c>
      <c r="D9" s="192"/>
      <c r="E9" s="192"/>
      <c r="F9" s="192"/>
      <c r="G9" s="192"/>
      <c r="H9" s="192"/>
      <c r="I9" s="150" t="e">
        <f>I10+I21</f>
        <v>#REF!</v>
      </c>
      <c r="J9" s="150" t="e">
        <f>IF(I9=0,"",IF(#REF!=0,"",I9*10000/#REF!))</f>
        <v>#REF!</v>
      </c>
      <c r="K9" s="230"/>
      <c r="L9" s="231"/>
      <c r="M9" s="171">
        <v>2</v>
      </c>
      <c r="P9" s="232"/>
      <c r="Q9" s="263"/>
      <c r="R9" s="263"/>
      <c r="S9" s="263"/>
      <c r="T9" s="264"/>
      <c r="U9" s="265"/>
      <c r="V9" s="266"/>
      <c r="W9" s="266"/>
      <c r="X9" s="266"/>
      <c r="Y9" s="279"/>
      <c r="Z9" s="280"/>
      <c r="AA9" s="236"/>
      <c r="AB9" s="236"/>
      <c r="AC9" s="236"/>
      <c r="AD9" s="98"/>
    </row>
    <row r="10" ht="17.1" customHeight="1" spans="2:30">
      <c r="B10" s="1831" t="s">
        <v>2247</v>
      </c>
      <c r="C10" s="121" t="s">
        <v>2248</v>
      </c>
      <c r="D10" s="193"/>
      <c r="E10" s="193"/>
      <c r="F10" s="155"/>
      <c r="G10" s="155"/>
      <c r="H10" s="155"/>
      <c r="I10" s="156" t="e">
        <f>I11+I14+I15+I20</f>
        <v>#REF!</v>
      </c>
      <c r="J10" s="156" t="e">
        <f>IF(I10=0,"",IF(#REF!=0,"",I10*10000/#REF!))</f>
        <v>#REF!</v>
      </c>
      <c r="K10" s="233"/>
      <c r="L10" s="234"/>
      <c r="M10" s="171">
        <v>3</v>
      </c>
      <c r="P10" s="232"/>
      <c r="Q10" s="263"/>
      <c r="R10" s="263"/>
      <c r="S10" s="263"/>
      <c r="T10" s="264"/>
      <c r="U10" s="265"/>
      <c r="V10" s="266"/>
      <c r="W10" s="266"/>
      <c r="X10" s="266"/>
      <c r="Y10" s="279"/>
      <c r="Z10" s="280"/>
      <c r="AA10" s="236"/>
      <c r="AB10" s="236"/>
      <c r="AC10" s="236"/>
      <c r="AD10" s="98"/>
    </row>
    <row r="11" ht="17.1" customHeight="1" outlineLevel="1" spans="2:30">
      <c r="B11" s="194" t="s">
        <v>622</v>
      </c>
      <c r="C11" s="64" t="s">
        <v>2395</v>
      </c>
      <c r="D11" s="65"/>
      <c r="E11" s="65"/>
      <c r="F11" s="108"/>
      <c r="G11" s="108"/>
      <c r="H11" s="108"/>
      <c r="I11" s="235" t="e">
        <f>SUM(I12:I13)</f>
        <v>#REF!</v>
      </c>
      <c r="J11" s="235" t="e">
        <f>IF(I11=0,"",IF(#REF!=0,"",I11*10000/#REF!))</f>
        <v>#REF!</v>
      </c>
      <c r="K11" s="236"/>
      <c r="L11" s="237"/>
      <c r="M11" s="238">
        <v>4</v>
      </c>
      <c r="P11" s="232"/>
      <c r="Q11" s="263"/>
      <c r="R11" s="263"/>
      <c r="S11" s="263"/>
      <c r="T11" s="264"/>
      <c r="U11" s="265"/>
      <c r="V11" s="266"/>
      <c r="W11" s="266"/>
      <c r="X11" s="266"/>
      <c r="Y11" s="279"/>
      <c r="Z11" s="280"/>
      <c r="AA11" s="236"/>
      <c r="AB11" s="236"/>
      <c r="AC11" s="236"/>
      <c r="AD11" s="98"/>
    </row>
    <row r="12" ht="17.1" customHeight="1" outlineLevel="2" spans="2:30">
      <c r="B12" s="195"/>
      <c r="C12" s="107" t="s">
        <v>2396</v>
      </c>
      <c r="D12" s="65" t="s">
        <v>2251</v>
      </c>
      <c r="E12" s="360">
        <v>10</v>
      </c>
      <c r="F12" s="108" t="s">
        <v>827</v>
      </c>
      <c r="G12" s="108" t="e">
        <f>#REF!/(#REF!+#REF!)*#REF!</f>
        <v>#REF!</v>
      </c>
      <c r="H12" s="108" t="e">
        <f>#REF!</f>
        <v>#REF!</v>
      </c>
      <c r="I12" s="198" t="e">
        <f t="shared" ref="I12:I14" si="0">E12*G12*H12/10000</f>
        <v>#REF!</v>
      </c>
      <c r="J12" s="198"/>
      <c r="K12" s="236"/>
      <c r="L12" s="237"/>
      <c r="M12" s="238">
        <v>5</v>
      </c>
      <c r="P12" s="232"/>
      <c r="Q12" s="263"/>
      <c r="R12" s="263"/>
      <c r="S12" s="263"/>
      <c r="T12" s="264"/>
      <c r="U12" s="265"/>
      <c r="V12" s="266"/>
      <c r="W12" s="266"/>
      <c r="X12" s="266"/>
      <c r="Y12" s="279"/>
      <c r="Z12" s="280"/>
      <c r="AA12" s="236"/>
      <c r="AB12" s="236"/>
      <c r="AC12" s="236"/>
      <c r="AD12" s="98"/>
    </row>
    <row r="13" ht="17.1" customHeight="1" outlineLevel="2" spans="2:30">
      <c r="B13" s="195"/>
      <c r="C13" s="107" t="s">
        <v>2252</v>
      </c>
      <c r="D13" s="65" t="s">
        <v>2251</v>
      </c>
      <c r="E13" s="360">
        <v>4</v>
      </c>
      <c r="F13" s="108" t="s">
        <v>827</v>
      </c>
      <c r="G13" s="108" t="e">
        <f>G12</f>
        <v>#REF!</v>
      </c>
      <c r="H13" s="108" t="e">
        <f>#REF!</f>
        <v>#REF!</v>
      </c>
      <c r="I13" s="198" t="e">
        <f t="shared" si="0"/>
        <v>#REF!</v>
      </c>
      <c r="J13" s="198"/>
      <c r="K13" s="236"/>
      <c r="L13" s="237"/>
      <c r="M13" s="238">
        <v>6</v>
      </c>
      <c r="P13" s="232"/>
      <c r="Q13" s="263"/>
      <c r="R13" s="263"/>
      <c r="S13" s="263"/>
      <c r="T13" s="264"/>
      <c r="U13" s="265"/>
      <c r="V13" s="266"/>
      <c r="W13" s="266"/>
      <c r="X13" s="266"/>
      <c r="Y13" s="279"/>
      <c r="Z13" s="280"/>
      <c r="AA13" s="236"/>
      <c r="AB13" s="236"/>
      <c r="AC13" s="236"/>
      <c r="AD13" s="98"/>
    </row>
    <row r="14" ht="17.1" customHeight="1" outlineLevel="1" spans="2:30">
      <c r="B14" s="194" t="s">
        <v>622</v>
      </c>
      <c r="C14" s="64" t="s">
        <v>833</v>
      </c>
      <c r="D14" s="65" t="s">
        <v>665</v>
      </c>
      <c r="E14" s="65">
        <v>1</v>
      </c>
      <c r="F14" s="108" t="s">
        <v>837</v>
      </c>
      <c r="G14" s="108" t="e">
        <f>$D$5</f>
        <v>#REF!</v>
      </c>
      <c r="H14" s="108">
        <v>70</v>
      </c>
      <c r="I14" s="235" t="e">
        <f t="shared" si="0"/>
        <v>#REF!</v>
      </c>
      <c r="J14" s="235" t="e">
        <f>IF(I14=0,"",IF(#REF!=0,"",I14*10000/#REF!))</f>
        <v>#REF!</v>
      </c>
      <c r="K14" s="236"/>
      <c r="L14" s="237"/>
      <c r="M14" s="238">
        <v>7</v>
      </c>
      <c r="P14" s="232"/>
      <c r="Q14" s="263"/>
      <c r="R14" s="263"/>
      <c r="S14" s="263"/>
      <c r="T14" s="264"/>
      <c r="U14" s="265"/>
      <c r="V14" s="266"/>
      <c r="W14" s="266"/>
      <c r="X14" s="266"/>
      <c r="Y14" s="279"/>
      <c r="Z14" s="280"/>
      <c r="AA14" s="236"/>
      <c r="AB14" s="236"/>
      <c r="AC14" s="236"/>
      <c r="AD14" s="98"/>
    </row>
    <row r="15" ht="17.1" customHeight="1" outlineLevel="1" spans="2:30">
      <c r="B15" s="194" t="s">
        <v>622</v>
      </c>
      <c r="C15" s="64" t="s">
        <v>2254</v>
      </c>
      <c r="D15" s="65"/>
      <c r="E15" s="65"/>
      <c r="F15" s="108"/>
      <c r="G15" s="108"/>
      <c r="H15" s="108"/>
      <c r="I15" s="235" t="e">
        <f>I16+I17</f>
        <v>#REF!</v>
      </c>
      <c r="J15" s="235" t="e">
        <f>IF(I15=0,"",IF(#REF!=0,"",I15*10000/#REF!))</f>
        <v>#REF!</v>
      </c>
      <c r="K15" s="240"/>
      <c r="L15" s="222"/>
      <c r="M15" s="238">
        <v>8</v>
      </c>
      <c r="P15" s="232"/>
      <c r="Q15" s="263"/>
      <c r="R15" s="263"/>
      <c r="S15" s="263"/>
      <c r="T15" s="264"/>
      <c r="U15" s="265"/>
      <c r="V15" s="266"/>
      <c r="W15" s="266"/>
      <c r="X15" s="266"/>
      <c r="Y15" s="279"/>
      <c r="Z15" s="280"/>
      <c r="AA15" s="236"/>
      <c r="AB15" s="236"/>
      <c r="AC15" s="236"/>
      <c r="AD15" s="98"/>
    </row>
    <row r="16" ht="17.1" customHeight="1" outlineLevel="2" spans="2:30">
      <c r="B16" s="195"/>
      <c r="C16" s="64" t="s">
        <v>2255</v>
      </c>
      <c r="D16" s="65" t="s">
        <v>665</v>
      </c>
      <c r="E16" s="65">
        <v>1</v>
      </c>
      <c r="F16" s="108" t="s">
        <v>655</v>
      </c>
      <c r="G16" s="108" t="e">
        <f>$D$5</f>
        <v>#REF!</v>
      </c>
      <c r="H16" s="108">
        <v>185</v>
      </c>
      <c r="I16" s="235" t="e">
        <f t="shared" ref="I16:I20" si="1">E16*G16*H16/10000</f>
        <v>#REF!</v>
      </c>
      <c r="J16" s="235"/>
      <c r="K16" s="236"/>
      <c r="L16" s="237"/>
      <c r="M16" s="238">
        <v>9</v>
      </c>
      <c r="P16" s="232"/>
      <c r="Q16" s="263"/>
      <c r="R16" s="263"/>
      <c r="S16" s="263"/>
      <c r="T16" s="264"/>
      <c r="U16" s="265"/>
      <c r="V16" s="266"/>
      <c r="W16" s="266"/>
      <c r="X16" s="266"/>
      <c r="Y16" s="279"/>
      <c r="Z16" s="280"/>
      <c r="AA16" s="236"/>
      <c r="AB16" s="236"/>
      <c r="AC16" s="236"/>
      <c r="AD16" s="98"/>
    </row>
    <row r="17" ht="17.1" customHeight="1" outlineLevel="2" spans="2:30">
      <c r="B17" s="195"/>
      <c r="C17" s="64" t="s">
        <v>2256</v>
      </c>
      <c r="D17" s="65"/>
      <c r="E17" s="65"/>
      <c r="F17" s="108"/>
      <c r="G17" s="108"/>
      <c r="H17" s="108"/>
      <c r="I17" s="235" t="e">
        <f>SUM(I18:I19)</f>
        <v>#REF!</v>
      </c>
      <c r="J17" s="235"/>
      <c r="K17" s="236"/>
      <c r="L17" s="237"/>
      <c r="M17" s="238">
        <v>10</v>
      </c>
      <c r="P17" s="232"/>
      <c r="Q17" s="263"/>
      <c r="R17" s="263"/>
      <c r="S17" s="263"/>
      <c r="T17" s="264"/>
      <c r="U17" s="265"/>
      <c r="V17" s="266"/>
      <c r="W17" s="266"/>
      <c r="X17" s="266"/>
      <c r="Y17" s="279"/>
      <c r="Z17" s="280"/>
      <c r="AA17" s="236"/>
      <c r="AB17" s="236"/>
      <c r="AC17" s="236"/>
      <c r="AD17" s="98"/>
    </row>
    <row r="18" ht="17.1" customHeight="1" outlineLevel="2" spans="2:30">
      <c r="B18" s="195"/>
      <c r="C18" s="107" t="s">
        <v>2397</v>
      </c>
      <c r="D18" s="65" t="s">
        <v>665</v>
      </c>
      <c r="E18" s="65">
        <v>1</v>
      </c>
      <c r="F18" s="108" t="s">
        <v>655</v>
      </c>
      <c r="G18" s="108" t="e">
        <f>$D$5</f>
        <v>#REF!</v>
      </c>
      <c r="H18" s="108">
        <v>3</v>
      </c>
      <c r="I18" s="235" t="e">
        <f t="shared" si="1"/>
        <v>#REF!</v>
      </c>
      <c r="J18" s="235"/>
      <c r="K18" s="236"/>
      <c r="L18" s="237"/>
      <c r="M18" s="238">
        <v>11</v>
      </c>
      <c r="P18" s="232"/>
      <c r="Q18" s="263"/>
      <c r="R18" s="263"/>
      <c r="S18" s="263"/>
      <c r="T18" s="264"/>
      <c r="U18" s="265"/>
      <c r="V18" s="266"/>
      <c r="W18" s="266"/>
      <c r="X18" s="266"/>
      <c r="Y18" s="279"/>
      <c r="Z18" s="280"/>
      <c r="AA18" s="236"/>
      <c r="AB18" s="236"/>
      <c r="AC18" s="236"/>
      <c r="AD18" s="98"/>
    </row>
    <row r="19" ht="17.1" customHeight="1" outlineLevel="2" spans="2:30">
      <c r="B19" s="195"/>
      <c r="C19" s="107" t="s">
        <v>2398</v>
      </c>
      <c r="D19" s="65" t="s">
        <v>665</v>
      </c>
      <c r="E19" s="65">
        <v>1</v>
      </c>
      <c r="F19" s="108" t="s">
        <v>655</v>
      </c>
      <c r="G19" s="108" t="e">
        <f>$D$5</f>
        <v>#REF!</v>
      </c>
      <c r="H19" s="108">
        <v>2</v>
      </c>
      <c r="I19" s="235" t="e">
        <f t="shared" si="1"/>
        <v>#REF!</v>
      </c>
      <c r="J19" s="235"/>
      <c r="K19" s="236"/>
      <c r="L19" s="237"/>
      <c r="M19" s="238">
        <v>12</v>
      </c>
      <c r="P19" s="232"/>
      <c r="Q19" s="263"/>
      <c r="R19" s="263"/>
      <c r="S19" s="263"/>
      <c r="T19" s="264"/>
      <c r="U19" s="265"/>
      <c r="V19" s="266"/>
      <c r="W19" s="266"/>
      <c r="X19" s="266"/>
      <c r="Y19" s="279"/>
      <c r="Z19" s="280"/>
      <c r="AA19" s="236"/>
      <c r="AB19" s="236"/>
      <c r="AC19" s="236"/>
      <c r="AD19" s="98"/>
    </row>
    <row r="20" s="167" customFormat="1" ht="17.1" customHeight="1" outlineLevel="1" spans="2:30">
      <c r="B20" s="361" t="s">
        <v>622</v>
      </c>
      <c r="C20" s="196" t="s">
        <v>849</v>
      </c>
      <c r="D20" s="65" t="s">
        <v>665</v>
      </c>
      <c r="E20" s="65">
        <v>1</v>
      </c>
      <c r="F20" s="108" t="s">
        <v>655</v>
      </c>
      <c r="G20" s="108" t="e">
        <f>$D$5</f>
        <v>#REF!</v>
      </c>
      <c r="H20" s="108">
        <v>40</v>
      </c>
      <c r="I20" s="235" t="e">
        <f t="shared" si="1"/>
        <v>#REF!</v>
      </c>
      <c r="J20" s="235" t="e">
        <f>IF(I20=0,"",IF(#REF!=0,"",I20*10000/#REF!))</f>
        <v>#REF!</v>
      </c>
      <c r="K20" s="241"/>
      <c r="L20" s="242"/>
      <c r="M20" s="238">
        <v>13</v>
      </c>
      <c r="N20" s="171"/>
      <c r="O20" s="171"/>
      <c r="P20" s="243"/>
      <c r="Q20" s="267"/>
      <c r="R20" s="267"/>
      <c r="S20" s="267"/>
      <c r="T20" s="268"/>
      <c r="U20" s="269"/>
      <c r="V20" s="270"/>
      <c r="W20" s="270"/>
      <c r="X20" s="270"/>
      <c r="Y20" s="281"/>
      <c r="Z20" s="282"/>
      <c r="AA20" s="250"/>
      <c r="AB20" s="250"/>
      <c r="AC20" s="250"/>
      <c r="AD20" s="283"/>
    </row>
    <row r="21" ht="17.1" customHeight="1" spans="2:30">
      <c r="B21" s="1831" t="s">
        <v>2257</v>
      </c>
      <c r="C21" s="121" t="s">
        <v>2258</v>
      </c>
      <c r="D21" s="193"/>
      <c r="E21" s="193"/>
      <c r="F21" s="155"/>
      <c r="G21" s="155"/>
      <c r="H21" s="155"/>
      <c r="I21" s="156" t="e">
        <f>I22+I26+I27+I34+I41+I44+I47</f>
        <v>#REF!</v>
      </c>
      <c r="J21" s="156" t="e">
        <f>IF(I21=0,"",IF(#REF!=0,"",I21*10000/#REF!))</f>
        <v>#REF!</v>
      </c>
      <c r="K21" s="233"/>
      <c r="L21" s="234"/>
      <c r="M21" s="238">
        <v>14</v>
      </c>
      <c r="P21" s="232"/>
      <c r="Q21" s="263"/>
      <c r="R21" s="263"/>
      <c r="S21" s="263"/>
      <c r="T21" s="264"/>
      <c r="U21" s="265"/>
      <c r="V21" s="266"/>
      <c r="W21" s="266"/>
      <c r="X21" s="266"/>
      <c r="Y21" s="279"/>
      <c r="Z21" s="280"/>
      <c r="AA21" s="236"/>
      <c r="AB21" s="236"/>
      <c r="AC21" s="236"/>
      <c r="AD21" s="98"/>
    </row>
    <row r="22" ht="17.1" customHeight="1" outlineLevel="1" spans="2:30">
      <c r="B22" s="194" t="s">
        <v>622</v>
      </c>
      <c r="C22" s="1828" t="s">
        <v>2259</v>
      </c>
      <c r="D22" s="197"/>
      <c r="E22" s="198"/>
      <c r="F22" s="199"/>
      <c r="G22" s="199"/>
      <c r="H22" s="198"/>
      <c r="I22" s="244" t="e">
        <f>SUM(I23:I25)</f>
        <v>#REF!</v>
      </c>
      <c r="J22" s="244" t="e">
        <f>IF(I22=0,"",IF(#REF!=0,"",I22*10000/#REF!))</f>
        <v>#REF!</v>
      </c>
      <c r="K22" s="245"/>
      <c r="L22" s="246"/>
      <c r="M22" s="238">
        <v>15</v>
      </c>
      <c r="P22" s="232"/>
      <c r="Q22" s="263"/>
      <c r="R22" s="263"/>
      <c r="S22" s="263"/>
      <c r="T22" s="264"/>
      <c r="U22" s="265"/>
      <c r="V22" s="266"/>
      <c r="W22" s="266"/>
      <c r="X22" s="266"/>
      <c r="Y22" s="279"/>
      <c r="Z22" s="280"/>
      <c r="AA22" s="236"/>
      <c r="AB22" s="236"/>
      <c r="AC22" s="236"/>
      <c r="AD22" s="98"/>
    </row>
    <row r="23" ht="17.1" customHeight="1" outlineLevel="2" spans="2:30">
      <c r="B23" s="195"/>
      <c r="C23" s="34" t="s">
        <v>2399</v>
      </c>
      <c r="D23" s="65" t="s">
        <v>665</v>
      </c>
      <c r="E23" s="65">
        <f t="shared" ref="E23:E26" si="2">HLOOKUP(L23,$P$8:$T$151,M23,FALSE)</f>
        <v>0.44</v>
      </c>
      <c r="F23" s="108" t="s">
        <v>827</v>
      </c>
      <c r="G23" s="108" t="e">
        <f>$D$5</f>
        <v>#REF!</v>
      </c>
      <c r="H23" s="198">
        <v>470</v>
      </c>
      <c r="I23" s="198" t="e">
        <f t="shared" ref="I23:I26" si="3">E23*G23*H23/10000</f>
        <v>#REF!</v>
      </c>
      <c r="J23" s="198"/>
      <c r="K23" s="236"/>
      <c r="L23" s="222" t="str">
        <f>$I$2</f>
        <v>C</v>
      </c>
      <c r="M23" s="238">
        <v>16</v>
      </c>
      <c r="P23" s="247"/>
      <c r="Q23" s="247"/>
      <c r="R23" s="247"/>
      <c r="S23" s="247">
        <v>0.44</v>
      </c>
      <c r="T23" s="247"/>
      <c r="U23" s="265"/>
      <c r="V23" s="266"/>
      <c r="W23" s="266"/>
      <c r="X23" s="266"/>
      <c r="Y23" s="279"/>
      <c r="Z23" s="280"/>
      <c r="AA23" s="236"/>
      <c r="AB23" s="236"/>
      <c r="AC23" s="236"/>
      <c r="AD23" s="98"/>
    </row>
    <row r="24" ht="17.1" customHeight="1" outlineLevel="2" spans="2:30">
      <c r="B24" s="195"/>
      <c r="C24" s="34" t="s">
        <v>2400</v>
      </c>
      <c r="D24" s="65" t="s">
        <v>665</v>
      </c>
      <c r="E24" s="65">
        <f t="shared" si="2"/>
        <v>60</v>
      </c>
      <c r="F24" s="108" t="s">
        <v>1546</v>
      </c>
      <c r="G24" s="108" t="e">
        <f>$D$5</f>
        <v>#REF!</v>
      </c>
      <c r="H24" s="198" t="e">
        <f>#REF!</f>
        <v>#REF!</v>
      </c>
      <c r="I24" s="198" t="e">
        <f t="shared" si="3"/>
        <v>#REF!</v>
      </c>
      <c r="J24" s="198"/>
      <c r="K24" s="236"/>
      <c r="L24" s="222" t="str">
        <f>$I$2</f>
        <v>C</v>
      </c>
      <c r="M24" s="238">
        <v>17</v>
      </c>
      <c r="P24" s="247"/>
      <c r="Q24" s="247"/>
      <c r="R24" s="247"/>
      <c r="S24" s="247">
        <v>60</v>
      </c>
      <c r="T24" s="247"/>
      <c r="U24" s="265"/>
      <c r="V24" s="266"/>
      <c r="W24" s="266"/>
      <c r="X24" s="266"/>
      <c r="Y24" s="279"/>
      <c r="Z24" s="280"/>
      <c r="AA24" s="236"/>
      <c r="AB24" s="236"/>
      <c r="AC24" s="236"/>
      <c r="AD24" s="98"/>
    </row>
    <row r="25" ht="17.1" customHeight="1" outlineLevel="2" spans="2:30">
      <c r="B25" s="195"/>
      <c r="C25" s="34" t="s">
        <v>2401</v>
      </c>
      <c r="D25" s="65" t="s">
        <v>665</v>
      </c>
      <c r="E25" s="65">
        <f t="shared" si="2"/>
        <v>3.8</v>
      </c>
      <c r="F25" s="108" t="s">
        <v>1015</v>
      </c>
      <c r="G25" s="108" t="e">
        <f>$D$5</f>
        <v>#REF!</v>
      </c>
      <c r="H25" s="34">
        <v>55</v>
      </c>
      <c r="I25" s="198" t="e">
        <f t="shared" si="3"/>
        <v>#REF!</v>
      </c>
      <c r="J25" s="198"/>
      <c r="K25" s="236"/>
      <c r="L25" s="222" t="str">
        <f>$I$2</f>
        <v>C</v>
      </c>
      <c r="M25" s="238">
        <v>18</v>
      </c>
      <c r="P25" s="247"/>
      <c r="Q25" s="247"/>
      <c r="R25" s="247"/>
      <c r="S25" s="247">
        <v>3.8</v>
      </c>
      <c r="T25" s="247"/>
      <c r="U25" s="265"/>
      <c r="V25" s="266"/>
      <c r="W25" s="266"/>
      <c r="X25" s="266"/>
      <c r="Y25" s="279"/>
      <c r="Z25" s="280"/>
      <c r="AA25" s="236"/>
      <c r="AB25" s="236"/>
      <c r="AC25" s="236"/>
      <c r="AD25" s="98"/>
    </row>
    <row r="26" ht="17.1" customHeight="1" outlineLevel="1" spans="2:30">
      <c r="B26" s="194" t="s">
        <v>622</v>
      </c>
      <c r="C26" s="1828" t="s">
        <v>1552</v>
      </c>
      <c r="D26" s="65" t="s">
        <v>665</v>
      </c>
      <c r="E26" s="200">
        <f t="shared" si="2"/>
        <v>0.12</v>
      </c>
      <c r="F26" s="108" t="s">
        <v>827</v>
      </c>
      <c r="G26" s="108" t="e">
        <f>$D$5</f>
        <v>#REF!</v>
      </c>
      <c r="H26" s="198" t="e">
        <f>#REF!</f>
        <v>#REF!</v>
      </c>
      <c r="I26" s="198" t="e">
        <f t="shared" si="3"/>
        <v>#REF!</v>
      </c>
      <c r="J26" s="198" t="e">
        <f>IF(I26=0,"",IF(#REF!=0,"",I26*10000/#REF!))</f>
        <v>#REF!</v>
      </c>
      <c r="K26" s="236"/>
      <c r="L26" s="222" t="str">
        <f>$I$2</f>
        <v>C</v>
      </c>
      <c r="M26" s="238">
        <v>19</v>
      </c>
      <c r="P26" s="247"/>
      <c r="Q26" s="247"/>
      <c r="R26" s="247"/>
      <c r="S26" s="247">
        <f>ROUND(IF(S3&gt;2.9,(S3-2.9)*0.1,0)+0.56-S23,2)</f>
        <v>0.12</v>
      </c>
      <c r="T26" s="247"/>
      <c r="U26" s="265"/>
      <c r="V26" s="266"/>
      <c r="W26" s="266"/>
      <c r="X26" s="266"/>
      <c r="Y26" s="279"/>
      <c r="Z26" s="280"/>
      <c r="AA26" s="236"/>
      <c r="AB26" s="236"/>
      <c r="AC26" s="236"/>
      <c r="AD26" s="98"/>
    </row>
    <row r="27" ht="17.1" customHeight="1" outlineLevel="1" spans="2:30">
      <c r="B27" s="194" t="s">
        <v>622</v>
      </c>
      <c r="C27" s="1828" t="s">
        <v>1564</v>
      </c>
      <c r="D27" s="65"/>
      <c r="E27" s="198"/>
      <c r="F27" s="108"/>
      <c r="G27" s="108"/>
      <c r="H27" s="198"/>
      <c r="I27" s="198" t="e">
        <f>SUM(I28:I33)</f>
        <v>#REF!</v>
      </c>
      <c r="J27" s="198" t="e">
        <f>IF(I27=0,"",IF(#REF!=0,"",I27*10000/#REF!))</f>
        <v>#REF!</v>
      </c>
      <c r="K27" s="236"/>
      <c r="L27" s="237"/>
      <c r="M27" s="238">
        <v>20</v>
      </c>
      <c r="P27" s="232"/>
      <c r="Q27" s="263"/>
      <c r="R27" s="263"/>
      <c r="S27" s="263"/>
      <c r="T27" s="264"/>
      <c r="U27" s="265"/>
      <c r="V27" s="266"/>
      <c r="W27" s="266"/>
      <c r="X27" s="266"/>
      <c r="Y27" s="279"/>
      <c r="Z27" s="280"/>
      <c r="AA27" s="236"/>
      <c r="AB27" s="236"/>
      <c r="AC27" s="236"/>
      <c r="AD27" s="98"/>
    </row>
    <row r="28" ht="17.1" customHeight="1" outlineLevel="2" spans="2:30">
      <c r="B28" s="195"/>
      <c r="C28" s="34" t="s">
        <v>2260</v>
      </c>
      <c r="D28" s="65" t="s">
        <v>665</v>
      </c>
      <c r="E28" s="65">
        <f t="shared" ref="E28:E33" si="4">HLOOKUP(L28,$P$8:$T$151,M28,FALSE)</f>
        <v>1.2</v>
      </c>
      <c r="F28" s="108" t="s">
        <v>1015</v>
      </c>
      <c r="G28" s="108" t="e">
        <f t="shared" ref="G28:G33" si="5">$D$5</f>
        <v>#REF!</v>
      </c>
      <c r="H28" s="198">
        <v>28</v>
      </c>
      <c r="I28" s="198" t="e">
        <f t="shared" ref="I28:I33" si="6">E28*G28*H28/10000</f>
        <v>#REF!</v>
      </c>
      <c r="J28" s="198"/>
      <c r="K28" s="236"/>
      <c r="L28" s="222" t="s">
        <v>2374</v>
      </c>
      <c r="M28" s="238">
        <v>21</v>
      </c>
      <c r="P28" s="247">
        <f t="shared" ref="P28:S28" si="7">Q28</f>
        <v>1.2</v>
      </c>
      <c r="Q28" s="247">
        <f t="shared" si="7"/>
        <v>1.2</v>
      </c>
      <c r="R28" s="247">
        <f t="shared" si="7"/>
        <v>1.2</v>
      </c>
      <c r="S28" s="247">
        <f t="shared" si="7"/>
        <v>1.2</v>
      </c>
      <c r="T28" s="247">
        <v>1.2</v>
      </c>
      <c r="U28" s="265"/>
      <c r="V28" s="266"/>
      <c r="W28" s="266"/>
      <c r="X28" s="266"/>
      <c r="Y28" s="279"/>
      <c r="Z28" s="280"/>
      <c r="AA28" s="236"/>
      <c r="AB28" s="236"/>
      <c r="AC28" s="236"/>
      <c r="AD28" s="98"/>
    </row>
    <row r="29" ht="17.1" customHeight="1" outlineLevel="2" spans="2:30">
      <c r="B29" s="195"/>
      <c r="C29" s="34" t="s">
        <v>2261</v>
      </c>
      <c r="D29" s="65" t="s">
        <v>665</v>
      </c>
      <c r="E29" s="65">
        <f t="shared" si="4"/>
        <v>2</v>
      </c>
      <c r="F29" s="108" t="s">
        <v>1015</v>
      </c>
      <c r="G29" s="108" t="e">
        <f t="shared" si="5"/>
        <v>#REF!</v>
      </c>
      <c r="H29" s="198">
        <v>25</v>
      </c>
      <c r="I29" s="198" t="e">
        <f t="shared" si="6"/>
        <v>#REF!</v>
      </c>
      <c r="J29" s="198"/>
      <c r="K29" s="236"/>
      <c r="L29" s="222" t="s">
        <v>2374</v>
      </c>
      <c r="M29" s="238">
        <v>22</v>
      </c>
      <c r="P29" s="247">
        <f t="shared" ref="P29:T29" si="8">ROUND(IF(P3&gt;2.9,(P3-2.9)*1,0)+2,2)</f>
        <v>2.4</v>
      </c>
      <c r="Q29" s="247">
        <f t="shared" si="8"/>
        <v>2.25</v>
      </c>
      <c r="R29" s="247">
        <f t="shared" si="8"/>
        <v>2.1</v>
      </c>
      <c r="S29" s="247">
        <f t="shared" si="8"/>
        <v>2</v>
      </c>
      <c r="T29" s="247">
        <f t="shared" si="8"/>
        <v>2</v>
      </c>
      <c r="U29" s="265"/>
      <c r="V29" s="266"/>
      <c r="W29" s="266"/>
      <c r="X29" s="266"/>
      <c r="Y29" s="279"/>
      <c r="Z29" s="280"/>
      <c r="AA29" s="236"/>
      <c r="AB29" s="236"/>
      <c r="AC29" s="236"/>
      <c r="AD29" s="98"/>
    </row>
    <row r="30" ht="17.1" customHeight="1" outlineLevel="2" spans="2:30">
      <c r="B30" s="195"/>
      <c r="C30" s="34" t="s">
        <v>2262</v>
      </c>
      <c r="D30" s="65" t="s">
        <v>665</v>
      </c>
      <c r="E30" s="65">
        <f t="shared" si="4"/>
        <v>1.4</v>
      </c>
      <c r="F30" s="108" t="s">
        <v>1015</v>
      </c>
      <c r="G30" s="108" t="e">
        <f t="shared" si="5"/>
        <v>#REF!</v>
      </c>
      <c r="H30" s="198">
        <v>45</v>
      </c>
      <c r="I30" s="198" t="e">
        <f t="shared" si="6"/>
        <v>#REF!</v>
      </c>
      <c r="J30" s="198"/>
      <c r="K30" s="236"/>
      <c r="L30" s="222" t="s">
        <v>2374</v>
      </c>
      <c r="M30" s="238">
        <v>23</v>
      </c>
      <c r="P30" s="247">
        <f t="shared" ref="P30:S30" si="9">ROUND(IF(P3&gt;2.9,(P3-2.9)*1.7,0)+3.4-P29,2)</f>
        <v>1.68</v>
      </c>
      <c r="Q30" s="247">
        <f t="shared" si="9"/>
        <v>1.58</v>
      </c>
      <c r="R30" s="247">
        <f t="shared" si="9"/>
        <v>1.47</v>
      </c>
      <c r="S30" s="247">
        <f t="shared" si="9"/>
        <v>1.4</v>
      </c>
      <c r="T30" s="247">
        <f>ROUND(IF(T3&gt;2.9,(T3-2.9)*1.7,0)+3.3-T29,2)</f>
        <v>1.3</v>
      </c>
      <c r="U30" s="265"/>
      <c r="V30" s="266"/>
      <c r="W30" s="266"/>
      <c r="X30" s="266"/>
      <c r="Y30" s="279"/>
      <c r="Z30" s="280"/>
      <c r="AA30" s="236"/>
      <c r="AB30" s="236"/>
      <c r="AC30" s="236"/>
      <c r="AD30" s="98"/>
    </row>
    <row r="31" ht="17.1" customHeight="1" outlineLevel="2" spans="2:30">
      <c r="B31" s="195"/>
      <c r="C31" s="34" t="s">
        <v>2263</v>
      </c>
      <c r="D31" s="65" t="s">
        <v>665</v>
      </c>
      <c r="E31" s="65">
        <f t="shared" si="4"/>
        <v>1.9</v>
      </c>
      <c r="F31" s="108" t="s">
        <v>1015</v>
      </c>
      <c r="G31" s="108" t="e">
        <f t="shared" si="5"/>
        <v>#REF!</v>
      </c>
      <c r="H31" s="198">
        <v>8</v>
      </c>
      <c r="I31" s="198" t="e">
        <f t="shared" si="6"/>
        <v>#REF!</v>
      </c>
      <c r="J31" s="198"/>
      <c r="K31" s="236"/>
      <c r="L31" s="222" t="s">
        <v>2374</v>
      </c>
      <c r="M31" s="238">
        <v>24</v>
      </c>
      <c r="P31" s="247">
        <f t="shared" ref="P31:T31" si="10">ROUND(IF(P3&gt;2.9,(P3-2.9)*1,0)+1.9,2)</f>
        <v>2.3</v>
      </c>
      <c r="Q31" s="247">
        <f t="shared" si="10"/>
        <v>2.15</v>
      </c>
      <c r="R31" s="247">
        <f t="shared" si="10"/>
        <v>2</v>
      </c>
      <c r="S31" s="247">
        <f t="shared" si="10"/>
        <v>1.9</v>
      </c>
      <c r="T31" s="247">
        <f t="shared" si="10"/>
        <v>1.9</v>
      </c>
      <c r="U31" s="265"/>
      <c r="V31" s="266"/>
      <c r="W31" s="266"/>
      <c r="X31" s="266"/>
      <c r="Y31" s="279"/>
      <c r="Z31" s="280"/>
      <c r="AA31" s="236"/>
      <c r="AB31" s="236"/>
      <c r="AC31" s="236"/>
      <c r="AD31" s="98"/>
    </row>
    <row r="32" ht="17.1" customHeight="1" outlineLevel="2" spans="2:30">
      <c r="B32" s="195"/>
      <c r="C32" s="34" t="s">
        <v>2264</v>
      </c>
      <c r="D32" s="65" t="s">
        <v>665</v>
      </c>
      <c r="E32" s="65">
        <f t="shared" si="4"/>
        <v>1</v>
      </c>
      <c r="F32" s="108" t="s">
        <v>1015</v>
      </c>
      <c r="G32" s="108" t="e">
        <f t="shared" si="5"/>
        <v>#REF!</v>
      </c>
      <c r="H32" s="198">
        <v>20</v>
      </c>
      <c r="I32" s="198" t="e">
        <f t="shared" si="6"/>
        <v>#REF!</v>
      </c>
      <c r="J32" s="198"/>
      <c r="K32" s="236"/>
      <c r="L32" s="222" t="s">
        <v>2374</v>
      </c>
      <c r="M32" s="238">
        <v>25</v>
      </c>
      <c r="P32" s="247">
        <f t="shared" ref="P32:T32" si="11">P85+P86</f>
        <v>0</v>
      </c>
      <c r="Q32" s="247">
        <f t="shared" si="11"/>
        <v>0</v>
      </c>
      <c r="R32" s="247">
        <f t="shared" si="11"/>
        <v>0</v>
      </c>
      <c r="S32" s="247">
        <f t="shared" si="11"/>
        <v>1</v>
      </c>
      <c r="T32" s="247">
        <f t="shared" si="11"/>
        <v>1.1</v>
      </c>
      <c r="U32" s="265"/>
      <c r="V32" s="266"/>
      <c r="W32" s="266"/>
      <c r="X32" s="266"/>
      <c r="Y32" s="279"/>
      <c r="Z32" s="280"/>
      <c r="AA32" s="236"/>
      <c r="AB32" s="236"/>
      <c r="AC32" s="236"/>
      <c r="AD32" s="98"/>
    </row>
    <row r="33" ht="17.1" customHeight="1" outlineLevel="2" spans="2:30">
      <c r="B33" s="195"/>
      <c r="C33" s="34" t="s">
        <v>2265</v>
      </c>
      <c r="D33" s="65" t="s">
        <v>2402</v>
      </c>
      <c r="E33" s="65">
        <f t="shared" si="4"/>
        <v>0.4</v>
      </c>
      <c r="F33" s="108" t="s">
        <v>1015</v>
      </c>
      <c r="G33" s="108" t="e">
        <f t="shared" si="5"/>
        <v>#REF!</v>
      </c>
      <c r="H33" s="198">
        <f>90-H30</f>
        <v>45</v>
      </c>
      <c r="I33" s="198" t="e">
        <f t="shared" si="6"/>
        <v>#REF!</v>
      </c>
      <c r="J33" s="198"/>
      <c r="K33" s="236"/>
      <c r="L33" s="222" t="s">
        <v>2374</v>
      </c>
      <c r="M33" s="238">
        <v>26</v>
      </c>
      <c r="N33" s="238"/>
      <c r="P33" s="247">
        <f t="shared" ref="P33:T33" si="12">P84</f>
        <v>0</v>
      </c>
      <c r="Q33" s="247">
        <f t="shared" si="12"/>
        <v>0</v>
      </c>
      <c r="R33" s="247">
        <f t="shared" si="12"/>
        <v>0</v>
      </c>
      <c r="S33" s="247">
        <f t="shared" si="12"/>
        <v>0.4</v>
      </c>
      <c r="T33" s="247">
        <f t="shared" si="12"/>
        <v>0.3</v>
      </c>
      <c r="U33" s="265"/>
      <c r="V33" s="266"/>
      <c r="W33" s="266"/>
      <c r="X33" s="266"/>
      <c r="Y33" s="279"/>
      <c r="Z33" s="280"/>
      <c r="AA33" s="236"/>
      <c r="AB33" s="236"/>
      <c r="AC33" s="236"/>
      <c r="AD33" s="98"/>
    </row>
    <row r="34" ht="17.1" customHeight="1" outlineLevel="1" spans="2:30">
      <c r="B34" s="194" t="s">
        <v>622</v>
      </c>
      <c r="C34" s="1828" t="s">
        <v>2266</v>
      </c>
      <c r="D34" s="65"/>
      <c r="E34" s="198"/>
      <c r="F34" s="108"/>
      <c r="G34" s="108"/>
      <c r="H34" s="93"/>
      <c r="I34" s="198" t="e">
        <f>SUM(I35:I40)</f>
        <v>#REF!</v>
      </c>
      <c r="J34" s="198" t="e">
        <f>IF(I34=0,"",IF(#REF!=0,"",I34*10000/#REF!))</f>
        <v>#REF!</v>
      </c>
      <c r="K34" s="236"/>
      <c r="L34" s="237"/>
      <c r="M34" s="238">
        <v>27</v>
      </c>
      <c r="N34" s="238"/>
      <c r="P34" s="247"/>
      <c r="Q34" s="247"/>
      <c r="R34" s="247"/>
      <c r="S34" s="247"/>
      <c r="T34" s="247"/>
      <c r="U34" s="265"/>
      <c r="V34" s="266"/>
      <c r="W34" s="266"/>
      <c r="X34" s="266"/>
      <c r="Y34" s="279"/>
      <c r="Z34" s="280"/>
      <c r="AA34" s="236"/>
      <c r="AB34" s="236"/>
      <c r="AC34" s="236"/>
      <c r="AD34" s="98"/>
    </row>
    <row r="35" ht="17.1" customHeight="1" outlineLevel="2" spans="2:30">
      <c r="B35" s="195"/>
      <c r="C35" s="34" t="s">
        <v>2267</v>
      </c>
      <c r="D35" s="65" t="s">
        <v>665</v>
      </c>
      <c r="E35" s="203">
        <f t="shared" ref="E35:E40" si="13">HLOOKUP(L35,$P$8:$T$151,M35,FALSE)</f>
        <v>0.03</v>
      </c>
      <c r="F35" s="108" t="s">
        <v>1015</v>
      </c>
      <c r="G35" s="108" t="e">
        <f>$D$5</f>
        <v>#REF!</v>
      </c>
      <c r="H35" s="93">
        <v>50</v>
      </c>
      <c r="I35" s="198" t="e">
        <f t="shared" ref="I35:I40" si="14">E35*G35*H35/10000</f>
        <v>#REF!</v>
      </c>
      <c r="J35" s="198"/>
      <c r="K35" s="236"/>
      <c r="L35" s="222" t="s">
        <v>2374</v>
      </c>
      <c r="M35" s="238">
        <v>28</v>
      </c>
      <c r="N35" s="238"/>
      <c r="P35" s="200">
        <v>0.03</v>
      </c>
      <c r="Q35" s="200">
        <v>0.03</v>
      </c>
      <c r="R35" s="200">
        <v>0.03</v>
      </c>
      <c r="S35" s="200">
        <v>0.03</v>
      </c>
      <c r="T35" s="200">
        <v>0.03</v>
      </c>
      <c r="U35" s="265"/>
      <c r="V35" s="266"/>
      <c r="W35" s="266"/>
      <c r="X35" s="266"/>
      <c r="Y35" s="279"/>
      <c r="Z35" s="280"/>
      <c r="AA35" s="236"/>
      <c r="AB35" s="236"/>
      <c r="AC35" s="236"/>
      <c r="AD35" s="98"/>
    </row>
    <row r="36" ht="17.1" customHeight="1" outlineLevel="2" spans="2:30">
      <c r="B36" s="195"/>
      <c r="C36" s="34" t="s">
        <v>2268</v>
      </c>
      <c r="D36" s="65" t="s">
        <v>665</v>
      </c>
      <c r="E36" s="203">
        <f t="shared" si="13"/>
        <v>0.12</v>
      </c>
      <c r="F36" s="108" t="s">
        <v>1015</v>
      </c>
      <c r="G36" s="108" t="e">
        <f>$D$5</f>
        <v>#REF!</v>
      </c>
      <c r="H36" s="93">
        <v>50</v>
      </c>
      <c r="I36" s="198" t="e">
        <f t="shared" si="14"/>
        <v>#REF!</v>
      </c>
      <c r="J36" s="198"/>
      <c r="K36" s="236"/>
      <c r="L36" s="222" t="s">
        <v>2374</v>
      </c>
      <c r="M36" s="238">
        <v>29</v>
      </c>
      <c r="N36" s="238"/>
      <c r="P36" s="200">
        <v>0.12</v>
      </c>
      <c r="Q36" s="200">
        <v>0.12</v>
      </c>
      <c r="R36" s="200">
        <v>0.12</v>
      </c>
      <c r="S36" s="200">
        <v>0.12</v>
      </c>
      <c r="T36" s="200">
        <v>0.12</v>
      </c>
      <c r="U36" s="265"/>
      <c r="V36" s="266"/>
      <c r="W36" s="266"/>
      <c r="X36" s="266"/>
      <c r="Y36" s="279"/>
      <c r="Z36" s="280"/>
      <c r="AA36" s="236"/>
      <c r="AB36" s="236"/>
      <c r="AC36" s="236"/>
      <c r="AD36" s="98"/>
    </row>
    <row r="37" ht="17.1" customHeight="1" outlineLevel="2" spans="2:30">
      <c r="B37" s="195"/>
      <c r="C37" s="34" t="s">
        <v>2269</v>
      </c>
      <c r="D37" s="65" t="s">
        <v>665</v>
      </c>
      <c r="E37" s="203">
        <f t="shared" si="13"/>
        <v>0.15</v>
      </c>
      <c r="F37" s="108" t="s">
        <v>1015</v>
      </c>
      <c r="G37" s="108" t="e">
        <f>$D$5</f>
        <v>#REF!</v>
      </c>
      <c r="H37" s="93">
        <v>55</v>
      </c>
      <c r="I37" s="198" t="e">
        <f t="shared" si="14"/>
        <v>#REF!</v>
      </c>
      <c r="J37" s="198"/>
      <c r="K37" s="236"/>
      <c r="L37" s="222" t="s">
        <v>2374</v>
      </c>
      <c r="M37" s="238">
        <v>30</v>
      </c>
      <c r="N37" s="238"/>
      <c r="P37" s="200">
        <v>0.15</v>
      </c>
      <c r="Q37" s="200">
        <v>0.15</v>
      </c>
      <c r="R37" s="200">
        <v>0.15</v>
      </c>
      <c r="S37" s="200">
        <v>0.15</v>
      </c>
      <c r="T37" s="200">
        <v>0.15</v>
      </c>
      <c r="U37" s="265"/>
      <c r="V37" s="266"/>
      <c r="W37" s="266"/>
      <c r="X37" s="266"/>
      <c r="Y37" s="279"/>
      <c r="Z37" s="280"/>
      <c r="AA37" s="236"/>
      <c r="AB37" s="236"/>
      <c r="AC37" s="236"/>
      <c r="AD37" s="98"/>
    </row>
    <row r="38" ht="17.1" customHeight="1" outlineLevel="2" spans="2:30">
      <c r="B38" s="195"/>
      <c r="C38" s="34" t="s">
        <v>2270</v>
      </c>
      <c r="D38" s="65" t="s">
        <v>862</v>
      </c>
      <c r="E38" s="65">
        <f t="shared" si="13"/>
        <v>1</v>
      </c>
      <c r="F38" s="108" t="s">
        <v>1015</v>
      </c>
      <c r="G38" s="108" t="e">
        <f>$D$3</f>
        <v>#REF!</v>
      </c>
      <c r="H38" s="93">
        <v>45</v>
      </c>
      <c r="I38" s="198" t="e">
        <f t="shared" si="14"/>
        <v>#REF!</v>
      </c>
      <c r="J38" s="198"/>
      <c r="K38" s="236"/>
      <c r="L38" s="222" t="s">
        <v>2374</v>
      </c>
      <c r="M38" s="238">
        <v>31</v>
      </c>
      <c r="N38" s="238"/>
      <c r="P38" s="200">
        <v>1</v>
      </c>
      <c r="Q38" s="200">
        <v>1</v>
      </c>
      <c r="R38" s="200">
        <v>1</v>
      </c>
      <c r="S38" s="200">
        <v>1</v>
      </c>
      <c r="T38" s="200">
        <v>1</v>
      </c>
      <c r="U38" s="265"/>
      <c r="V38" s="266"/>
      <c r="W38" s="266"/>
      <c r="X38" s="266"/>
      <c r="Y38" s="279"/>
      <c r="Z38" s="280"/>
      <c r="AA38" s="236"/>
      <c r="AB38" s="236"/>
      <c r="AC38" s="236"/>
      <c r="AD38" s="98"/>
    </row>
    <row r="39" ht="17.1" customHeight="1" outlineLevel="2" spans="2:30">
      <c r="B39" s="195"/>
      <c r="C39" s="34" t="s">
        <v>2271</v>
      </c>
      <c r="D39" s="65" t="s">
        <v>862</v>
      </c>
      <c r="E39" s="65">
        <f t="shared" si="13"/>
        <v>1.3</v>
      </c>
      <c r="F39" s="108" t="s">
        <v>1015</v>
      </c>
      <c r="G39" s="108" t="e">
        <f>$D$3</f>
        <v>#REF!</v>
      </c>
      <c r="H39" s="93">
        <v>100</v>
      </c>
      <c r="I39" s="198" t="e">
        <f t="shared" si="14"/>
        <v>#REF!</v>
      </c>
      <c r="J39" s="198"/>
      <c r="K39" s="236"/>
      <c r="L39" s="222" t="s">
        <v>2374</v>
      </c>
      <c r="M39" s="238">
        <v>32</v>
      </c>
      <c r="N39" s="238"/>
      <c r="P39" s="200">
        <v>1.3</v>
      </c>
      <c r="Q39" s="200">
        <v>1.3</v>
      </c>
      <c r="R39" s="200">
        <v>1.3</v>
      </c>
      <c r="S39" s="200">
        <v>1.3</v>
      </c>
      <c r="T39" s="200">
        <v>1.3</v>
      </c>
      <c r="U39" s="265"/>
      <c r="V39" s="266"/>
      <c r="W39" s="266"/>
      <c r="X39" s="266"/>
      <c r="Y39" s="279"/>
      <c r="Z39" s="280"/>
      <c r="AA39" s="236"/>
      <c r="AB39" s="236"/>
      <c r="AC39" s="236"/>
      <c r="AD39" s="98"/>
    </row>
    <row r="40" ht="17.1" customHeight="1" outlineLevel="2" spans="2:30">
      <c r="B40" s="195"/>
      <c r="C40" s="34" t="s">
        <v>2272</v>
      </c>
      <c r="D40" s="65" t="s">
        <v>665</v>
      </c>
      <c r="E40" s="65">
        <f t="shared" si="13"/>
        <v>0.03</v>
      </c>
      <c r="F40" s="108" t="s">
        <v>1015</v>
      </c>
      <c r="G40" s="108" t="e">
        <f>$D$5</f>
        <v>#REF!</v>
      </c>
      <c r="H40" s="93">
        <v>45</v>
      </c>
      <c r="I40" s="198" t="e">
        <f t="shared" si="14"/>
        <v>#REF!</v>
      </c>
      <c r="J40" s="198"/>
      <c r="K40" s="236"/>
      <c r="L40" s="222" t="s">
        <v>2374</v>
      </c>
      <c r="M40" s="238">
        <v>33</v>
      </c>
      <c r="N40" s="238"/>
      <c r="P40" s="200">
        <v>0.03</v>
      </c>
      <c r="Q40" s="200">
        <v>0.03</v>
      </c>
      <c r="R40" s="200">
        <v>0.03</v>
      </c>
      <c r="S40" s="200">
        <v>0.03</v>
      </c>
      <c r="T40" s="200">
        <v>0.03</v>
      </c>
      <c r="U40" s="265"/>
      <c r="V40" s="266"/>
      <c r="W40" s="266"/>
      <c r="X40" s="266"/>
      <c r="Y40" s="279"/>
      <c r="Z40" s="280"/>
      <c r="AA40" s="236"/>
      <c r="AB40" s="236"/>
      <c r="AC40" s="236"/>
      <c r="AD40" s="98"/>
    </row>
    <row r="41" ht="17.1" customHeight="1" outlineLevel="1" spans="2:30">
      <c r="B41" s="194" t="s">
        <v>622</v>
      </c>
      <c r="C41" s="39" t="s">
        <v>2273</v>
      </c>
      <c r="D41" s="197"/>
      <c r="E41" s="198"/>
      <c r="F41" s="108"/>
      <c r="G41" s="108"/>
      <c r="H41" s="93"/>
      <c r="I41" s="198" t="e">
        <f>SUM(I42:I43)</f>
        <v>#REF!</v>
      </c>
      <c r="J41" s="198" t="e">
        <f>IF(I41=0,"",IF(#REF!=0,"",I41*10000/#REF!))</f>
        <v>#REF!</v>
      </c>
      <c r="K41" s="236"/>
      <c r="L41" s="237"/>
      <c r="M41" s="238">
        <v>34</v>
      </c>
      <c r="N41" s="238"/>
      <c r="P41" s="232"/>
      <c r="Q41" s="263"/>
      <c r="R41" s="263"/>
      <c r="S41" s="248"/>
      <c r="T41" s="247"/>
      <c r="U41" s="265"/>
      <c r="V41" s="266"/>
      <c r="W41" s="266"/>
      <c r="X41" s="266"/>
      <c r="Y41" s="279"/>
      <c r="Z41" s="280"/>
      <c r="AA41" s="236"/>
      <c r="AB41" s="236"/>
      <c r="AC41" s="236"/>
      <c r="AD41" s="98"/>
    </row>
    <row r="42" ht="17.1" customHeight="1" outlineLevel="2" spans="2:30">
      <c r="B42" s="195"/>
      <c r="C42" s="34" t="s">
        <v>2403</v>
      </c>
      <c r="D42" s="65" t="s">
        <v>505</v>
      </c>
      <c r="E42" s="65">
        <f t="shared" ref="E42:E46" si="15">HLOOKUP(L42,$P$8:$T$151,M42,FALSE)</f>
        <v>1</v>
      </c>
      <c r="F42" s="95" t="s">
        <v>2389</v>
      </c>
      <c r="G42" s="108" t="e">
        <f>$D$5</f>
        <v>#REF!</v>
      </c>
      <c r="H42" s="93">
        <v>320</v>
      </c>
      <c r="I42" s="198" t="e">
        <f t="shared" ref="I42:I46" si="16">E42*G42*H42/10000</f>
        <v>#REF!</v>
      </c>
      <c r="J42" s="198" t="e">
        <f>IF(I42=0,"",IF(#REF!=0,"",I42*10000/#REF!))</f>
        <v>#REF!</v>
      </c>
      <c r="K42" s="236"/>
      <c r="L42" s="222" t="s">
        <v>2374</v>
      </c>
      <c r="M42" s="238">
        <v>35</v>
      </c>
      <c r="P42" s="248">
        <v>1.2</v>
      </c>
      <c r="Q42" s="248">
        <v>1.1</v>
      </c>
      <c r="R42" s="248">
        <v>1</v>
      </c>
      <c r="S42" s="248">
        <v>1</v>
      </c>
      <c r="T42" s="247">
        <v>1</v>
      </c>
      <c r="U42" s="265"/>
      <c r="V42" s="266"/>
      <c r="W42" s="266"/>
      <c r="X42" s="266"/>
      <c r="Y42" s="279"/>
      <c r="Z42" s="280"/>
      <c r="AA42" s="236"/>
      <c r="AB42" s="236"/>
      <c r="AC42" s="236"/>
      <c r="AD42" s="98"/>
    </row>
    <row r="43" ht="17.1" customHeight="1" outlineLevel="2" spans="2:30">
      <c r="B43" s="195"/>
      <c r="C43" s="34" t="s">
        <v>2404</v>
      </c>
      <c r="D43" s="65" t="s">
        <v>505</v>
      </c>
      <c r="E43" s="41">
        <f t="shared" si="15"/>
        <v>0.03</v>
      </c>
      <c r="F43" s="95" t="s">
        <v>2389</v>
      </c>
      <c r="G43" s="108" t="e">
        <f>$D$5</f>
        <v>#REF!</v>
      </c>
      <c r="H43" s="362" t="e">
        <f>SUM(J22,J26,J27,J34,J42)</f>
        <v>#REF!</v>
      </c>
      <c r="I43" s="198" t="e">
        <f t="shared" si="16"/>
        <v>#REF!</v>
      </c>
      <c r="J43" s="198"/>
      <c r="K43" s="236"/>
      <c r="L43" s="222" t="s">
        <v>2374</v>
      </c>
      <c r="M43" s="238">
        <v>36</v>
      </c>
      <c r="P43" s="249">
        <v>0.03</v>
      </c>
      <c r="Q43" s="41">
        <v>0.03</v>
      </c>
      <c r="R43" s="41">
        <v>0.03</v>
      </c>
      <c r="S43" s="41">
        <v>0.03</v>
      </c>
      <c r="T43" s="271">
        <v>0.03</v>
      </c>
      <c r="U43" s="265"/>
      <c r="V43" s="266"/>
      <c r="W43" s="266"/>
      <c r="X43" s="266"/>
      <c r="Y43" s="279"/>
      <c r="Z43" s="280"/>
      <c r="AA43" s="236"/>
      <c r="AB43" s="236"/>
      <c r="AC43" s="236"/>
      <c r="AD43" s="98"/>
    </row>
    <row r="44" ht="17.1" customHeight="1" outlineLevel="1" spans="2:30">
      <c r="B44" s="194" t="s">
        <v>622</v>
      </c>
      <c r="C44" s="64" t="s">
        <v>2276</v>
      </c>
      <c r="D44" s="65"/>
      <c r="E44" s="114"/>
      <c r="F44" s="108"/>
      <c r="G44" s="108"/>
      <c r="H44" s="205"/>
      <c r="I44" s="116" t="e">
        <f>SUM(I45:I46)</f>
        <v>#REF!</v>
      </c>
      <c r="J44" s="116" t="e">
        <f>IF(I44=0,"",IF(#REF!=0,"",I44*10000/#REF!))</f>
        <v>#REF!</v>
      </c>
      <c r="K44" s="250"/>
      <c r="L44" s="237"/>
      <c r="M44" s="238">
        <v>37</v>
      </c>
      <c r="P44" s="232"/>
      <c r="Q44" s="263"/>
      <c r="R44" s="263"/>
      <c r="S44" s="263"/>
      <c r="T44" s="264"/>
      <c r="U44" s="265"/>
      <c r="V44" s="266"/>
      <c r="W44" s="266"/>
      <c r="X44" s="266"/>
      <c r="Y44" s="279"/>
      <c r="Z44" s="280"/>
      <c r="AA44" s="236"/>
      <c r="AB44" s="236"/>
      <c r="AC44" s="236"/>
      <c r="AD44" s="98"/>
    </row>
    <row r="45" ht="17.1" customHeight="1" outlineLevel="2" spans="2:30">
      <c r="B45" s="195"/>
      <c r="C45" s="107" t="s">
        <v>2405</v>
      </c>
      <c r="D45" s="65" t="s">
        <v>862</v>
      </c>
      <c r="E45" s="203">
        <f>HLOOKUP(L45,$P$8:$T$151,M45)</f>
        <v>2</v>
      </c>
      <c r="F45" s="108" t="s">
        <v>1015</v>
      </c>
      <c r="G45" s="108" t="e">
        <f>$D$3</f>
        <v>#REF!</v>
      </c>
      <c r="H45" s="116" t="e">
        <f>#REF!</f>
        <v>#REF!</v>
      </c>
      <c r="I45" s="116" t="e">
        <f t="shared" si="16"/>
        <v>#REF!</v>
      </c>
      <c r="J45" s="116" t="s">
        <v>511</v>
      </c>
      <c r="K45" s="236"/>
      <c r="L45" s="222" t="str">
        <f>$I$2</f>
        <v>C</v>
      </c>
      <c r="M45" s="238">
        <v>38</v>
      </c>
      <c r="P45" s="232"/>
      <c r="Q45" s="263"/>
      <c r="R45" s="263"/>
      <c r="S45" s="248">
        <v>2</v>
      </c>
      <c r="T45" s="264"/>
      <c r="U45" s="265"/>
      <c r="V45" s="266"/>
      <c r="W45" s="266"/>
      <c r="X45" s="266"/>
      <c r="Y45" s="279"/>
      <c r="Z45" s="280"/>
      <c r="AA45" s="236"/>
      <c r="AB45" s="236"/>
      <c r="AC45" s="236"/>
      <c r="AD45" s="98"/>
    </row>
    <row r="46" ht="17.1" customHeight="1" outlineLevel="2" spans="2:30">
      <c r="B46" s="195"/>
      <c r="C46" s="107" t="s">
        <v>2406</v>
      </c>
      <c r="D46" s="65" t="s">
        <v>665</v>
      </c>
      <c r="E46" s="296">
        <f t="shared" si="15"/>
        <v>0.7</v>
      </c>
      <c r="F46" s="108" t="s">
        <v>1015</v>
      </c>
      <c r="G46" s="108" t="e">
        <f>$D$5</f>
        <v>#REF!</v>
      </c>
      <c r="H46" s="116">
        <f>HLOOKUP(L46,$U$8:$Y$151,M46,FALSE)</f>
        <v>90</v>
      </c>
      <c r="I46" s="116" t="e">
        <f t="shared" si="16"/>
        <v>#REF!</v>
      </c>
      <c r="J46" s="116"/>
      <c r="K46" s="236"/>
      <c r="L46" s="222" t="str">
        <f>$I$2</f>
        <v>C</v>
      </c>
      <c r="M46" s="238">
        <v>39</v>
      </c>
      <c r="P46" s="232"/>
      <c r="Q46" s="263"/>
      <c r="R46" s="263"/>
      <c r="S46" s="248">
        <v>0.7</v>
      </c>
      <c r="T46" s="264"/>
      <c r="U46" s="265"/>
      <c r="V46" s="266"/>
      <c r="W46" s="266"/>
      <c r="X46" s="266">
        <v>90</v>
      </c>
      <c r="Y46" s="279"/>
      <c r="Z46" s="280"/>
      <c r="AA46" s="236"/>
      <c r="AB46" s="236"/>
      <c r="AC46" s="236"/>
      <c r="AD46" s="98"/>
    </row>
    <row r="47" ht="17.1" customHeight="1" outlineLevel="1" spans="2:30">
      <c r="B47" s="194" t="s">
        <v>622</v>
      </c>
      <c r="C47" s="39" t="s">
        <v>546</v>
      </c>
      <c r="D47" s="197"/>
      <c r="E47" s="198"/>
      <c r="F47" s="108"/>
      <c r="G47" s="108"/>
      <c r="H47" s="93"/>
      <c r="I47" s="198">
        <f>SUM(I48:I49)</f>
        <v>0</v>
      </c>
      <c r="J47" s="198" t="str">
        <f>IF(I47=0,"",IF(#REF!=0,"",I47*10000/#REF!))</f>
        <v/>
      </c>
      <c r="K47" s="236"/>
      <c r="L47" s="237"/>
      <c r="M47" s="238">
        <v>40</v>
      </c>
      <c r="N47" s="238"/>
      <c r="P47" s="232"/>
      <c r="Q47" s="263"/>
      <c r="R47" s="263"/>
      <c r="S47" s="248"/>
      <c r="T47" s="247"/>
      <c r="U47" s="265"/>
      <c r="V47" s="266"/>
      <c r="W47" s="266"/>
      <c r="X47" s="266"/>
      <c r="Y47" s="279"/>
      <c r="Z47" s="280"/>
      <c r="AA47" s="236"/>
      <c r="AB47" s="236"/>
      <c r="AC47" s="236"/>
      <c r="AD47" s="98"/>
    </row>
    <row r="48" ht="17.1" customHeight="1" outlineLevel="2" spans="2:30">
      <c r="B48" s="195"/>
      <c r="C48" s="34" t="s">
        <v>2407</v>
      </c>
      <c r="D48" s="65" t="s">
        <v>2408</v>
      </c>
      <c r="E48" s="65">
        <f>HLOOKUP(L48,$P$8:$T$151,M48,FALSE)</f>
        <v>2.9</v>
      </c>
      <c r="F48" s="95" t="s">
        <v>1637</v>
      </c>
      <c r="G48" s="108"/>
      <c r="H48" s="93">
        <v>90</v>
      </c>
      <c r="I48" s="198">
        <f>E48*G48*H48/10000</f>
        <v>0</v>
      </c>
      <c r="J48" s="198"/>
      <c r="K48" s="236"/>
      <c r="L48" s="222" t="s">
        <v>2374</v>
      </c>
      <c r="M48" s="238">
        <v>41</v>
      </c>
      <c r="P48" s="247">
        <f t="shared" ref="P48:T48" si="17">ROUND(IF(P3&gt;2.8,(P3-2.8)*1,0)+2.9,2)</f>
        <v>3.4</v>
      </c>
      <c r="Q48" s="247">
        <f t="shared" si="17"/>
        <v>3.25</v>
      </c>
      <c r="R48" s="247">
        <f t="shared" si="17"/>
        <v>3.1</v>
      </c>
      <c r="S48" s="247">
        <f t="shared" si="17"/>
        <v>2.9</v>
      </c>
      <c r="T48" s="247">
        <f t="shared" si="17"/>
        <v>2.9</v>
      </c>
      <c r="U48" s="265"/>
      <c r="V48" s="266"/>
      <c r="W48" s="266"/>
      <c r="X48" s="266"/>
      <c r="Y48" s="279"/>
      <c r="Z48" s="280"/>
      <c r="AA48" s="236"/>
      <c r="AB48" s="236"/>
      <c r="AC48" s="236"/>
      <c r="AD48" s="98"/>
    </row>
    <row r="49" ht="17.1" customHeight="1" outlineLevel="2" spans="2:30">
      <c r="B49" s="195"/>
      <c r="C49" s="34" t="s">
        <v>2335</v>
      </c>
      <c r="D49" s="65" t="s">
        <v>2408</v>
      </c>
      <c r="E49" s="65">
        <f>HLOOKUP(L49,$P$8:$T$151,M49,FALSE)</f>
        <v>2.9</v>
      </c>
      <c r="F49" s="108" t="s">
        <v>1637</v>
      </c>
      <c r="G49" s="108"/>
      <c r="H49" s="93">
        <v>70</v>
      </c>
      <c r="I49" s="198">
        <f>E49*G49*H49/10000</f>
        <v>0</v>
      </c>
      <c r="J49" s="198"/>
      <c r="K49" s="236"/>
      <c r="L49" s="222" t="s">
        <v>2374</v>
      </c>
      <c r="M49" s="238">
        <v>42</v>
      </c>
      <c r="P49" s="247">
        <f t="shared" ref="P49:T49" si="18">ROUND(IF(P3&gt;2.8,(P3-2.8)*1,0)+2.9,2)</f>
        <v>3.4</v>
      </c>
      <c r="Q49" s="247">
        <f t="shared" si="18"/>
        <v>3.25</v>
      </c>
      <c r="R49" s="247">
        <f t="shared" si="18"/>
        <v>3.1</v>
      </c>
      <c r="S49" s="247">
        <f t="shared" si="18"/>
        <v>2.9</v>
      </c>
      <c r="T49" s="247">
        <f t="shared" si="18"/>
        <v>2.9</v>
      </c>
      <c r="U49" s="265"/>
      <c r="V49" s="266"/>
      <c r="W49" s="266"/>
      <c r="X49" s="266"/>
      <c r="Y49" s="279"/>
      <c r="Z49" s="280"/>
      <c r="AA49" s="236"/>
      <c r="AB49" s="236"/>
      <c r="AC49" s="236"/>
      <c r="AD49" s="98"/>
    </row>
    <row r="50" ht="17.1" customHeight="1" spans="2:30">
      <c r="B50" s="102" t="s">
        <v>533</v>
      </c>
      <c r="C50" s="103" t="s">
        <v>2278</v>
      </c>
      <c r="D50" s="192"/>
      <c r="E50" s="192"/>
      <c r="F50" s="206"/>
      <c r="G50" s="206"/>
      <c r="H50" s="206"/>
      <c r="I50" s="150" t="e">
        <f>I51+I72</f>
        <v>#REF!</v>
      </c>
      <c r="J50" s="150" t="e">
        <f>IF(I50=0,"",IF(#REF!=0,"",I50*10000/#REF!))</f>
        <v>#REF!</v>
      </c>
      <c r="K50" s="251"/>
      <c r="L50" s="231"/>
      <c r="M50" s="238">
        <v>43</v>
      </c>
      <c r="P50" s="232"/>
      <c r="Q50" s="263"/>
      <c r="R50" s="263"/>
      <c r="S50" s="263"/>
      <c r="T50" s="264"/>
      <c r="U50" s="265"/>
      <c r="V50" s="266"/>
      <c r="W50" s="266"/>
      <c r="X50" s="266"/>
      <c r="Y50" s="279"/>
      <c r="Z50" s="280"/>
      <c r="AA50" s="236"/>
      <c r="AB50" s="236"/>
      <c r="AC50" s="236"/>
      <c r="AD50" s="98"/>
    </row>
    <row r="51" ht="17.1" customHeight="1" spans="2:30">
      <c r="B51" s="1831" t="s">
        <v>2247</v>
      </c>
      <c r="C51" s="121" t="s">
        <v>2279</v>
      </c>
      <c r="D51" s="193"/>
      <c r="E51" s="193"/>
      <c r="F51" s="155"/>
      <c r="G51" s="155"/>
      <c r="H51" s="155"/>
      <c r="I51" s="156" t="e">
        <f>I52+I64</f>
        <v>#REF!</v>
      </c>
      <c r="J51" s="156" t="e">
        <f>IF(I51=0,"",IF(#REF!=0,"",I51*10000/#REF!))</f>
        <v>#REF!</v>
      </c>
      <c r="K51" s="233"/>
      <c r="L51" s="234"/>
      <c r="M51" s="238">
        <v>44</v>
      </c>
      <c r="P51" s="232"/>
      <c r="Q51" s="263"/>
      <c r="R51" s="263"/>
      <c r="S51" s="263"/>
      <c r="T51" s="264"/>
      <c r="U51" s="265"/>
      <c r="V51" s="266"/>
      <c r="W51" s="266"/>
      <c r="X51" s="266"/>
      <c r="Y51" s="279"/>
      <c r="Z51" s="280"/>
      <c r="AA51" s="236"/>
      <c r="AB51" s="236"/>
      <c r="AC51" s="236"/>
      <c r="AD51" s="98"/>
    </row>
    <row r="52" ht="17.1" customHeight="1" outlineLevel="1" spans="2:30">
      <c r="B52" s="194" t="s">
        <v>622</v>
      </c>
      <c r="C52" s="64" t="s">
        <v>2280</v>
      </c>
      <c r="D52" s="207"/>
      <c r="E52" s="65"/>
      <c r="F52" s="108"/>
      <c r="G52" s="108"/>
      <c r="H52" s="108"/>
      <c r="I52" s="252" t="e">
        <f>SUM(I53:I59)</f>
        <v>#REF!</v>
      </c>
      <c r="J52" s="252" t="e">
        <f>IF(I52=0,"",IF(#REF!=0,"",I52*10000/#REF!))</f>
        <v>#REF!</v>
      </c>
      <c r="K52" s="236"/>
      <c r="L52" s="237"/>
      <c r="M52" s="238">
        <v>45</v>
      </c>
      <c r="P52" s="232"/>
      <c r="Q52" s="263"/>
      <c r="R52" s="263"/>
      <c r="S52" s="263"/>
      <c r="T52" s="264"/>
      <c r="U52" s="265"/>
      <c r="V52" s="266"/>
      <c r="W52" s="266"/>
      <c r="X52" s="266"/>
      <c r="Y52" s="279"/>
      <c r="Z52" s="280"/>
      <c r="AA52" s="236"/>
      <c r="AB52" s="236"/>
      <c r="AC52" s="236"/>
      <c r="AD52" s="98"/>
    </row>
    <row r="53" ht="17.1" customHeight="1" outlineLevel="3" spans="2:30">
      <c r="B53" s="208"/>
      <c r="C53" s="209" t="s">
        <v>2350</v>
      </c>
      <c r="D53" s="210" t="s">
        <v>505</v>
      </c>
      <c r="E53" s="65">
        <v>1</v>
      </c>
      <c r="F53" s="108" t="s">
        <v>655</v>
      </c>
      <c r="G53" s="108" t="e">
        <f t="shared" ref="G53:G58" si="19">$D$5</f>
        <v>#REF!</v>
      </c>
      <c r="H53" s="211">
        <v>85</v>
      </c>
      <c r="I53" s="116" t="e">
        <f t="shared" ref="I53:I59" si="20">E53*G53*H53/10000</f>
        <v>#REF!</v>
      </c>
      <c r="J53" s="116"/>
      <c r="K53" s="236"/>
      <c r="L53" s="237"/>
      <c r="M53" s="238">
        <v>46</v>
      </c>
      <c r="P53" s="232"/>
      <c r="Q53" s="263"/>
      <c r="R53" s="263"/>
      <c r="S53" s="263"/>
      <c r="T53" s="264"/>
      <c r="U53" s="265"/>
      <c r="V53" s="266"/>
      <c r="W53" s="266"/>
      <c r="X53" s="266"/>
      <c r="Y53" s="279"/>
      <c r="Z53" s="280"/>
      <c r="AA53" s="236"/>
      <c r="AB53" s="236"/>
      <c r="AC53" s="236"/>
      <c r="AD53" s="98"/>
    </row>
    <row r="54" ht="17.1" customHeight="1" outlineLevel="3" spans="2:30">
      <c r="B54" s="208"/>
      <c r="C54" s="212" t="s">
        <v>2409</v>
      </c>
      <c r="D54" s="210" t="s">
        <v>505</v>
      </c>
      <c r="E54" s="65">
        <v>1</v>
      </c>
      <c r="F54" s="108" t="s">
        <v>655</v>
      </c>
      <c r="G54" s="108" t="e">
        <f t="shared" si="19"/>
        <v>#REF!</v>
      </c>
      <c r="H54" s="211">
        <v>6</v>
      </c>
      <c r="I54" s="116" t="e">
        <f t="shared" si="20"/>
        <v>#REF!</v>
      </c>
      <c r="J54" s="116"/>
      <c r="K54" s="236"/>
      <c r="L54" s="237"/>
      <c r="M54" s="238">
        <v>47</v>
      </c>
      <c r="P54" s="232"/>
      <c r="Q54" s="263"/>
      <c r="R54" s="263"/>
      <c r="S54" s="263"/>
      <c r="T54" s="264"/>
      <c r="U54" s="265"/>
      <c r="V54" s="266"/>
      <c r="W54" s="266"/>
      <c r="X54" s="266"/>
      <c r="Y54" s="279"/>
      <c r="Z54" s="280"/>
      <c r="AA54" s="236"/>
      <c r="AB54" s="236"/>
      <c r="AC54" s="236"/>
      <c r="AD54" s="98"/>
    </row>
    <row r="55" ht="17.1" customHeight="1" outlineLevel="3" spans="2:30">
      <c r="B55" s="208"/>
      <c r="C55" s="363" t="s">
        <v>2410</v>
      </c>
      <c r="D55" s="210" t="s">
        <v>505</v>
      </c>
      <c r="E55" s="65">
        <v>1</v>
      </c>
      <c r="F55" s="108" t="s">
        <v>655</v>
      </c>
      <c r="G55" s="108" t="e">
        <f t="shared" si="19"/>
        <v>#REF!</v>
      </c>
      <c r="H55" s="211">
        <v>5</v>
      </c>
      <c r="I55" s="116" t="e">
        <f t="shared" si="20"/>
        <v>#REF!</v>
      </c>
      <c r="J55" s="116"/>
      <c r="K55" s="236"/>
      <c r="L55" s="237"/>
      <c r="M55" s="238">
        <v>48</v>
      </c>
      <c r="P55" s="232"/>
      <c r="Q55" s="263"/>
      <c r="R55" s="263"/>
      <c r="S55" s="263"/>
      <c r="T55" s="264"/>
      <c r="U55" s="265"/>
      <c r="V55" s="266"/>
      <c r="W55" s="266"/>
      <c r="X55" s="266"/>
      <c r="Y55" s="279"/>
      <c r="Z55" s="280"/>
      <c r="AA55" s="236"/>
      <c r="AB55" s="236"/>
      <c r="AC55" s="236"/>
      <c r="AD55" s="98"/>
    </row>
    <row r="56" ht="17.1" customHeight="1" outlineLevel="3" spans="2:30">
      <c r="B56" s="208"/>
      <c r="C56" s="212" t="s">
        <v>2411</v>
      </c>
      <c r="D56" s="210" t="s">
        <v>505</v>
      </c>
      <c r="E56" s="65">
        <v>1</v>
      </c>
      <c r="F56" s="108" t="s">
        <v>655</v>
      </c>
      <c r="G56" s="108" t="e">
        <f t="shared" si="19"/>
        <v>#REF!</v>
      </c>
      <c r="H56" s="211">
        <v>15</v>
      </c>
      <c r="I56" s="116" t="e">
        <f t="shared" si="20"/>
        <v>#REF!</v>
      </c>
      <c r="J56" s="116"/>
      <c r="K56" s="236"/>
      <c r="L56" s="237"/>
      <c r="M56" s="238">
        <v>49</v>
      </c>
      <c r="P56" s="232"/>
      <c r="Q56" s="263"/>
      <c r="R56" s="263"/>
      <c r="S56" s="263"/>
      <c r="T56" s="264"/>
      <c r="U56" s="265"/>
      <c r="V56" s="266"/>
      <c r="W56" s="266"/>
      <c r="X56" s="266"/>
      <c r="Y56" s="279"/>
      <c r="Z56" s="280"/>
      <c r="AA56" s="236"/>
      <c r="AB56" s="236"/>
      <c r="AC56" s="236"/>
      <c r="AD56" s="98"/>
    </row>
    <row r="57" ht="17.1" customHeight="1" outlineLevel="3" spans="2:30">
      <c r="B57" s="208"/>
      <c r="C57" s="212" t="s">
        <v>2412</v>
      </c>
      <c r="D57" s="210" t="s">
        <v>505</v>
      </c>
      <c r="E57" s="65">
        <v>1</v>
      </c>
      <c r="F57" s="108" t="s">
        <v>655</v>
      </c>
      <c r="G57" s="108" t="e">
        <f t="shared" si="19"/>
        <v>#REF!</v>
      </c>
      <c r="H57" s="211">
        <v>8</v>
      </c>
      <c r="I57" s="116" t="e">
        <f t="shared" si="20"/>
        <v>#REF!</v>
      </c>
      <c r="J57" s="116"/>
      <c r="K57" s="236"/>
      <c r="L57" s="237"/>
      <c r="M57" s="238">
        <v>50</v>
      </c>
      <c r="P57" s="232"/>
      <c r="Q57" s="263"/>
      <c r="R57" s="263"/>
      <c r="S57" s="263"/>
      <c r="T57" s="264"/>
      <c r="U57" s="265"/>
      <c r="V57" s="266"/>
      <c r="W57" s="266"/>
      <c r="X57" s="266"/>
      <c r="Y57" s="279"/>
      <c r="Z57" s="280"/>
      <c r="AA57" s="236"/>
      <c r="AB57" s="236"/>
      <c r="AC57" s="236"/>
      <c r="AD57" s="98"/>
    </row>
    <row r="58" ht="17.1" customHeight="1" outlineLevel="3" spans="2:30">
      <c r="B58" s="208"/>
      <c r="C58" s="212" t="s">
        <v>2413</v>
      </c>
      <c r="D58" s="210" t="s">
        <v>505</v>
      </c>
      <c r="E58" s="65">
        <v>1</v>
      </c>
      <c r="F58" s="108" t="s">
        <v>655</v>
      </c>
      <c r="G58" s="108" t="e">
        <f t="shared" si="19"/>
        <v>#REF!</v>
      </c>
      <c r="H58" s="211">
        <v>4</v>
      </c>
      <c r="I58" s="116" t="e">
        <f t="shared" si="20"/>
        <v>#REF!</v>
      </c>
      <c r="J58" s="116"/>
      <c r="K58" s="236"/>
      <c r="L58" s="237"/>
      <c r="M58" s="238">
        <v>51</v>
      </c>
      <c r="P58" s="232"/>
      <c r="Q58" s="263"/>
      <c r="R58" s="263"/>
      <c r="S58" s="263"/>
      <c r="T58" s="264"/>
      <c r="U58" s="265"/>
      <c r="V58" s="266"/>
      <c r="W58" s="266"/>
      <c r="X58" s="266"/>
      <c r="Y58" s="279"/>
      <c r="Z58" s="280"/>
      <c r="AA58" s="236"/>
      <c r="AB58" s="236"/>
      <c r="AC58" s="236"/>
      <c r="AD58" s="98"/>
    </row>
    <row r="59" ht="17.1" customHeight="1" outlineLevel="3" spans="2:30">
      <c r="B59" s="208"/>
      <c r="C59" s="212" t="s">
        <v>2414</v>
      </c>
      <c r="D59" s="210" t="s">
        <v>601</v>
      </c>
      <c r="E59" s="65">
        <v>1</v>
      </c>
      <c r="F59" s="108" t="s">
        <v>1681</v>
      </c>
      <c r="G59" s="108" t="e">
        <f>$I$5</f>
        <v>#REF!</v>
      </c>
      <c r="H59" s="108">
        <f>HLOOKUP(L59,$U$8:$Y$151,M59,FALSE)</f>
        <v>380</v>
      </c>
      <c r="I59" s="116" t="e">
        <f t="shared" si="20"/>
        <v>#REF!</v>
      </c>
      <c r="J59" s="116"/>
      <c r="K59" s="236"/>
      <c r="L59" s="222" t="str">
        <f>$I$2</f>
        <v>C</v>
      </c>
      <c r="M59" s="238">
        <v>52</v>
      </c>
      <c r="P59" s="232"/>
      <c r="Q59" s="263"/>
      <c r="R59" s="263"/>
      <c r="S59" s="263"/>
      <c r="T59" s="264"/>
      <c r="U59" s="265"/>
      <c r="V59" s="266"/>
      <c r="W59" s="266"/>
      <c r="X59" s="266">
        <v>380</v>
      </c>
      <c r="Y59" s="279"/>
      <c r="Z59" s="280"/>
      <c r="AA59" s="236"/>
      <c r="AB59" s="236"/>
      <c r="AC59" s="236"/>
      <c r="AD59" s="98"/>
    </row>
    <row r="60" ht="17.1" customHeight="1" outlineLevel="1" spans="2:30">
      <c r="B60" s="213" t="s">
        <v>622</v>
      </c>
      <c r="C60" s="196" t="s">
        <v>2284</v>
      </c>
      <c r="D60" s="65"/>
      <c r="E60" s="65"/>
      <c r="F60" s="108"/>
      <c r="G60" s="108"/>
      <c r="H60" s="211"/>
      <c r="I60" s="116"/>
      <c r="J60" s="116" t="s">
        <v>511</v>
      </c>
      <c r="K60" s="236"/>
      <c r="L60" s="237"/>
      <c r="M60" s="238">
        <v>53</v>
      </c>
      <c r="P60" s="232"/>
      <c r="Q60" s="263"/>
      <c r="R60" s="263"/>
      <c r="S60" s="263"/>
      <c r="T60" s="264"/>
      <c r="U60" s="265"/>
      <c r="V60" s="266"/>
      <c r="W60" s="266"/>
      <c r="X60" s="266"/>
      <c r="Y60" s="279"/>
      <c r="Z60" s="280"/>
      <c r="AA60" s="236"/>
      <c r="AB60" s="236"/>
      <c r="AC60" s="236"/>
      <c r="AD60" s="98"/>
    </row>
    <row r="61" ht="17.1" customHeight="1" outlineLevel="2" spans="2:30">
      <c r="B61" s="214"/>
      <c r="C61" s="196" t="s">
        <v>2415</v>
      </c>
      <c r="D61" s="65"/>
      <c r="E61" s="65"/>
      <c r="F61" s="108"/>
      <c r="G61" s="108"/>
      <c r="H61" s="211"/>
      <c r="I61" s="116"/>
      <c r="J61" s="116"/>
      <c r="K61" s="236"/>
      <c r="L61" s="237"/>
      <c r="M61" s="238">
        <v>54</v>
      </c>
      <c r="P61" s="232"/>
      <c r="Q61" s="263"/>
      <c r="R61" s="263"/>
      <c r="S61" s="263"/>
      <c r="T61" s="264"/>
      <c r="U61" s="265"/>
      <c r="V61" s="266"/>
      <c r="W61" s="266"/>
      <c r="X61" s="266"/>
      <c r="Y61" s="279"/>
      <c r="Z61" s="280"/>
      <c r="AA61" s="236"/>
      <c r="AB61" s="236"/>
      <c r="AC61" s="236"/>
      <c r="AD61" s="98"/>
    </row>
    <row r="62" ht="17.1" customHeight="1" outlineLevel="2" spans="2:30">
      <c r="B62" s="214"/>
      <c r="C62" s="196" t="s">
        <v>2416</v>
      </c>
      <c r="D62" s="65"/>
      <c r="E62" s="65"/>
      <c r="F62" s="108"/>
      <c r="G62" s="108"/>
      <c r="H62" s="211"/>
      <c r="I62" s="116"/>
      <c r="J62" s="116"/>
      <c r="K62" s="236"/>
      <c r="L62" s="237"/>
      <c r="M62" s="238">
        <v>55</v>
      </c>
      <c r="P62" s="232"/>
      <c r="Q62" s="263"/>
      <c r="R62" s="263"/>
      <c r="S62" s="263"/>
      <c r="T62" s="264"/>
      <c r="U62" s="265"/>
      <c r="V62" s="266"/>
      <c r="W62" s="266"/>
      <c r="X62" s="266"/>
      <c r="Y62" s="279"/>
      <c r="Z62" s="280"/>
      <c r="AA62" s="236"/>
      <c r="AB62" s="236"/>
      <c r="AC62" s="236"/>
      <c r="AD62" s="98"/>
    </row>
    <row r="63" ht="17.1" customHeight="1" outlineLevel="1" spans="2:30">
      <c r="B63" s="213" t="s">
        <v>622</v>
      </c>
      <c r="C63" s="196" t="s">
        <v>2355</v>
      </c>
      <c r="D63" s="65"/>
      <c r="E63" s="65"/>
      <c r="F63" s="108"/>
      <c r="G63" s="108"/>
      <c r="H63" s="211"/>
      <c r="I63" s="116"/>
      <c r="J63" s="116" t="s">
        <v>511</v>
      </c>
      <c r="K63" s="236"/>
      <c r="L63" s="237"/>
      <c r="M63" s="238">
        <v>56</v>
      </c>
      <c r="P63" s="232"/>
      <c r="Q63" s="263"/>
      <c r="R63" s="263"/>
      <c r="S63" s="263"/>
      <c r="T63" s="264"/>
      <c r="U63" s="265"/>
      <c r="V63" s="266"/>
      <c r="W63" s="266"/>
      <c r="X63" s="266"/>
      <c r="Y63" s="279"/>
      <c r="Z63" s="280"/>
      <c r="AA63" s="236"/>
      <c r="AB63" s="236"/>
      <c r="AC63" s="236"/>
      <c r="AD63" s="98"/>
    </row>
    <row r="64" ht="17.1" customHeight="1" outlineLevel="1" spans="2:30">
      <c r="B64" s="194" t="s">
        <v>622</v>
      </c>
      <c r="C64" s="64" t="s">
        <v>2285</v>
      </c>
      <c r="D64" s="207"/>
      <c r="E64" s="65"/>
      <c r="F64" s="108"/>
      <c r="G64" s="108"/>
      <c r="H64" s="211"/>
      <c r="I64" s="116" t="e">
        <f>SUM(I65:I71)</f>
        <v>#REF!</v>
      </c>
      <c r="J64" s="116" t="e">
        <f>IF(I64=0,"",IF(#REF!=0,"",I64*10000/#REF!))</f>
        <v>#REF!</v>
      </c>
      <c r="K64" s="236"/>
      <c r="L64" s="237"/>
      <c r="M64" s="238">
        <v>57</v>
      </c>
      <c r="P64" s="232"/>
      <c r="Q64" s="263"/>
      <c r="R64" s="263"/>
      <c r="S64" s="263"/>
      <c r="T64" s="264"/>
      <c r="U64" s="265"/>
      <c r="V64" s="266"/>
      <c r="W64" s="266"/>
      <c r="X64" s="266"/>
      <c r="Y64" s="279"/>
      <c r="Z64" s="280"/>
      <c r="AA64" s="236"/>
      <c r="AB64" s="236"/>
      <c r="AC64" s="236"/>
      <c r="AD64" s="98"/>
    </row>
    <row r="65" ht="17.1" customHeight="1" outlineLevel="2" spans="2:30">
      <c r="B65" s="195"/>
      <c r="C65" s="284" t="s">
        <v>2356</v>
      </c>
      <c r="D65" s="285" t="s">
        <v>505</v>
      </c>
      <c r="E65" s="65">
        <v>1</v>
      </c>
      <c r="F65" s="108" t="s">
        <v>655</v>
      </c>
      <c r="G65" s="108" t="e">
        <f>$D$5</f>
        <v>#REF!</v>
      </c>
      <c r="H65" s="211">
        <v>90</v>
      </c>
      <c r="I65" s="116" t="e">
        <f t="shared" ref="I65:I71" si="21">E65*G65*H65/10000</f>
        <v>#REF!</v>
      </c>
      <c r="J65" s="116" t="s">
        <v>511</v>
      </c>
      <c r="K65" s="236"/>
      <c r="L65" s="237"/>
      <c r="M65" s="238">
        <v>58</v>
      </c>
      <c r="P65" s="232"/>
      <c r="Q65" s="263"/>
      <c r="R65" s="263"/>
      <c r="S65" s="263"/>
      <c r="T65" s="264"/>
      <c r="U65" s="265"/>
      <c r="V65" s="266"/>
      <c r="W65" s="266"/>
      <c r="X65" s="266"/>
      <c r="Y65" s="279"/>
      <c r="Z65" s="280"/>
      <c r="AA65" s="236"/>
      <c r="AB65" s="236"/>
      <c r="AC65" s="236"/>
      <c r="AD65" s="98"/>
    </row>
    <row r="66" ht="17.1" customHeight="1" outlineLevel="3" spans="2:30">
      <c r="B66" s="208"/>
      <c r="C66" s="284" t="s">
        <v>2417</v>
      </c>
      <c r="D66" s="285" t="s">
        <v>505</v>
      </c>
      <c r="E66" s="65">
        <v>1</v>
      </c>
      <c r="F66" s="108" t="s">
        <v>655</v>
      </c>
      <c r="G66" s="108" t="e">
        <f>$D$5</f>
        <v>#REF!</v>
      </c>
      <c r="H66" s="211">
        <v>15</v>
      </c>
      <c r="I66" s="116" t="e">
        <f t="shared" si="21"/>
        <v>#REF!</v>
      </c>
      <c r="J66" s="116"/>
      <c r="K66" s="236"/>
      <c r="L66" s="237"/>
      <c r="M66" s="238">
        <v>59</v>
      </c>
      <c r="P66" s="232"/>
      <c r="Q66" s="263"/>
      <c r="R66" s="263"/>
      <c r="S66" s="263"/>
      <c r="T66" s="264"/>
      <c r="U66" s="265"/>
      <c r="V66" s="266"/>
      <c r="W66" s="266"/>
      <c r="X66" s="266"/>
      <c r="Y66" s="279"/>
      <c r="Z66" s="280"/>
      <c r="AA66" s="236"/>
      <c r="AB66" s="236"/>
      <c r="AC66" s="236"/>
      <c r="AD66" s="98"/>
    </row>
    <row r="67" ht="17.1" customHeight="1" outlineLevel="3" spans="2:30">
      <c r="B67" s="208"/>
      <c r="C67" s="284" t="s">
        <v>2288</v>
      </c>
      <c r="D67" s="285" t="s">
        <v>505</v>
      </c>
      <c r="E67" s="65">
        <v>1</v>
      </c>
      <c r="F67" s="108" t="s">
        <v>655</v>
      </c>
      <c r="G67" s="108" t="e">
        <f>$D$5</f>
        <v>#REF!</v>
      </c>
      <c r="H67" s="211">
        <v>45</v>
      </c>
      <c r="I67" s="116" t="e">
        <f t="shared" si="21"/>
        <v>#REF!</v>
      </c>
      <c r="J67" s="116"/>
      <c r="K67" s="236"/>
      <c r="L67" s="237"/>
      <c r="M67" s="238">
        <v>60</v>
      </c>
      <c r="P67" s="232"/>
      <c r="Q67" s="263"/>
      <c r="R67" s="263"/>
      <c r="S67" s="263"/>
      <c r="T67" s="264"/>
      <c r="U67" s="265"/>
      <c r="V67" s="266"/>
      <c r="W67" s="266"/>
      <c r="X67" s="266"/>
      <c r="Y67" s="279"/>
      <c r="Z67" s="280"/>
      <c r="AA67" s="236"/>
      <c r="AB67" s="236"/>
      <c r="AC67" s="236"/>
      <c r="AD67" s="98"/>
    </row>
    <row r="68" ht="17.1" customHeight="1" outlineLevel="3" spans="2:30">
      <c r="B68" s="208"/>
      <c r="C68" s="284" t="s">
        <v>2289</v>
      </c>
      <c r="D68" s="285" t="s">
        <v>505</v>
      </c>
      <c r="E68" s="65">
        <v>1</v>
      </c>
      <c r="F68" s="108" t="s">
        <v>655</v>
      </c>
      <c r="G68" s="108" t="e">
        <f>$D$5</f>
        <v>#REF!</v>
      </c>
      <c r="H68" s="211">
        <v>2</v>
      </c>
      <c r="I68" s="116" t="e">
        <f t="shared" si="21"/>
        <v>#REF!</v>
      </c>
      <c r="J68" s="116"/>
      <c r="K68" s="236"/>
      <c r="L68" s="237"/>
      <c r="M68" s="238">
        <v>61</v>
      </c>
      <c r="P68" s="232"/>
      <c r="Q68" s="263"/>
      <c r="R68" s="263"/>
      <c r="S68" s="263"/>
      <c r="T68" s="264"/>
      <c r="U68" s="265"/>
      <c r="V68" s="266"/>
      <c r="W68" s="266"/>
      <c r="X68" s="266"/>
      <c r="Y68" s="279"/>
      <c r="Z68" s="280"/>
      <c r="AA68" s="236"/>
      <c r="AB68" s="236"/>
      <c r="AC68" s="236"/>
      <c r="AD68" s="98"/>
    </row>
    <row r="69" ht="17.1" customHeight="1" outlineLevel="3" spans="2:30">
      <c r="B69" s="208"/>
      <c r="C69" s="284" t="s">
        <v>2290</v>
      </c>
      <c r="D69" s="285" t="s">
        <v>505</v>
      </c>
      <c r="E69" s="65">
        <v>1</v>
      </c>
      <c r="F69" s="108" t="s">
        <v>655</v>
      </c>
      <c r="G69" s="108" t="e">
        <f>$D$5</f>
        <v>#REF!</v>
      </c>
      <c r="H69" s="211">
        <v>6</v>
      </c>
      <c r="I69" s="116" t="e">
        <f t="shared" si="21"/>
        <v>#REF!</v>
      </c>
      <c r="J69" s="116"/>
      <c r="K69" s="236"/>
      <c r="L69" s="237"/>
      <c r="M69" s="238">
        <v>62</v>
      </c>
      <c r="P69" s="232"/>
      <c r="Q69" s="263"/>
      <c r="R69" s="263"/>
      <c r="S69" s="263"/>
      <c r="T69" s="264"/>
      <c r="U69" s="265"/>
      <c r="V69" s="266"/>
      <c r="W69" s="266"/>
      <c r="X69" s="266"/>
      <c r="Y69" s="279"/>
      <c r="Z69" s="280"/>
      <c r="AA69" s="236"/>
      <c r="AB69" s="236"/>
      <c r="AC69" s="236"/>
      <c r="AD69" s="98"/>
    </row>
    <row r="70" ht="17.1" customHeight="1" outlineLevel="3" spans="2:30">
      <c r="B70" s="208"/>
      <c r="C70" s="284" t="s">
        <v>2358</v>
      </c>
      <c r="D70" s="285" t="s">
        <v>601</v>
      </c>
      <c r="E70" s="65">
        <v>1</v>
      </c>
      <c r="F70" s="108" t="s">
        <v>1681</v>
      </c>
      <c r="G70" s="108" t="e">
        <f>$I$5</f>
        <v>#REF!</v>
      </c>
      <c r="H70" s="203">
        <f>HLOOKUP(L70,$U$8:$Y$151,M70,FALSE)</f>
        <v>0</v>
      </c>
      <c r="I70" s="116" t="e">
        <f t="shared" si="21"/>
        <v>#REF!</v>
      </c>
      <c r="J70" s="116"/>
      <c r="K70" s="236"/>
      <c r="L70" s="222" t="str">
        <f>$I$2</f>
        <v>C</v>
      </c>
      <c r="M70" s="238">
        <v>63</v>
      </c>
      <c r="P70" s="232"/>
      <c r="Q70" s="263"/>
      <c r="R70" s="263"/>
      <c r="S70" s="263"/>
      <c r="T70" s="264"/>
      <c r="U70" s="265"/>
      <c r="V70" s="266"/>
      <c r="W70" s="266"/>
      <c r="X70" s="266"/>
      <c r="Y70" s="279"/>
      <c r="Z70" s="280"/>
      <c r="AA70" s="236"/>
      <c r="AB70" s="236"/>
      <c r="AC70" s="236"/>
      <c r="AD70" s="98"/>
    </row>
    <row r="71" ht="17.1" customHeight="1" outlineLevel="3" spans="2:30">
      <c r="B71" s="208"/>
      <c r="C71" s="284" t="s">
        <v>2418</v>
      </c>
      <c r="D71" s="285" t="s">
        <v>601</v>
      </c>
      <c r="E71" s="65">
        <v>1</v>
      </c>
      <c r="F71" s="108" t="s">
        <v>1681</v>
      </c>
      <c r="G71" s="108" t="e">
        <f>$I$5</f>
        <v>#REF!</v>
      </c>
      <c r="H71" s="203">
        <f>HLOOKUP(L71,$U$8:$Y$151,M71,FALSE)</f>
        <v>350</v>
      </c>
      <c r="I71" s="116" t="e">
        <f t="shared" si="21"/>
        <v>#REF!</v>
      </c>
      <c r="J71" s="116"/>
      <c r="K71" s="236"/>
      <c r="L71" s="222" t="str">
        <f>$I$2</f>
        <v>C</v>
      </c>
      <c r="M71" s="238">
        <v>64</v>
      </c>
      <c r="P71" s="232"/>
      <c r="Q71" s="263"/>
      <c r="R71" s="263"/>
      <c r="S71" s="263"/>
      <c r="T71" s="264"/>
      <c r="U71" s="265"/>
      <c r="V71" s="266"/>
      <c r="W71" s="266"/>
      <c r="X71" s="266">
        <v>350</v>
      </c>
      <c r="Y71" s="279"/>
      <c r="Z71" s="280"/>
      <c r="AA71" s="236"/>
      <c r="AB71" s="236"/>
      <c r="AC71" s="236"/>
      <c r="AD71" s="98"/>
    </row>
    <row r="72" ht="17.1" customHeight="1" spans="2:30">
      <c r="B72" s="1831" t="s">
        <v>2257</v>
      </c>
      <c r="C72" s="121" t="s">
        <v>2291</v>
      </c>
      <c r="D72" s="193"/>
      <c r="E72" s="193"/>
      <c r="F72" s="155"/>
      <c r="G72" s="155"/>
      <c r="H72" s="155"/>
      <c r="I72" s="156" t="e">
        <f>I73+I75+I78</f>
        <v>#REF!</v>
      </c>
      <c r="J72" s="156" t="e">
        <f>IF(I72=0,"",IF(#REF!=0,"",I72*10000/#REF!))</f>
        <v>#REF!</v>
      </c>
      <c r="K72" s="233"/>
      <c r="L72" s="234"/>
      <c r="M72" s="238">
        <v>65</v>
      </c>
      <c r="P72" s="232"/>
      <c r="Q72" s="263"/>
      <c r="R72" s="263"/>
      <c r="S72" s="263"/>
      <c r="T72" s="264"/>
      <c r="U72" s="265"/>
      <c r="V72" s="266"/>
      <c r="W72" s="266"/>
      <c r="X72" s="266"/>
      <c r="Y72" s="279"/>
      <c r="Z72" s="280"/>
      <c r="AA72" s="236"/>
      <c r="AB72" s="236"/>
      <c r="AC72" s="236"/>
      <c r="AD72" s="98"/>
    </row>
    <row r="73" ht="17.1" customHeight="1" outlineLevel="1" spans="2:30">
      <c r="B73" s="194" t="s">
        <v>622</v>
      </c>
      <c r="C73" s="64" t="s">
        <v>2419</v>
      </c>
      <c r="D73" s="286"/>
      <c r="E73" s="286"/>
      <c r="F73" s="287"/>
      <c r="G73" s="287"/>
      <c r="H73" s="287"/>
      <c r="I73" s="235">
        <f>SUM(I74)</f>
        <v>0</v>
      </c>
      <c r="J73" s="235" t="s">
        <v>511</v>
      </c>
      <c r="K73" s="236"/>
      <c r="L73" s="237"/>
      <c r="M73" s="238">
        <v>66</v>
      </c>
      <c r="P73" s="232"/>
      <c r="Q73" s="263"/>
      <c r="R73" s="263"/>
      <c r="S73" s="263"/>
      <c r="T73" s="264"/>
      <c r="U73" s="265"/>
      <c r="V73" s="266"/>
      <c r="W73" s="266"/>
      <c r="X73" s="266"/>
      <c r="Y73" s="279"/>
      <c r="Z73" s="280"/>
      <c r="AA73" s="236"/>
      <c r="AB73" s="236"/>
      <c r="AC73" s="236"/>
      <c r="AD73" s="98"/>
    </row>
    <row r="74" ht="17.1" customHeight="1" outlineLevel="2" spans="2:30">
      <c r="B74" s="194"/>
      <c r="C74" s="107" t="s">
        <v>2420</v>
      </c>
      <c r="D74" s="65" t="s">
        <v>665</v>
      </c>
      <c r="E74" s="286"/>
      <c r="F74" s="108" t="s">
        <v>1015</v>
      </c>
      <c r="G74" s="108"/>
      <c r="H74" s="112"/>
      <c r="I74" s="306">
        <f t="shared" ref="I74:I79" si="22">E74*G74*H74/10000</f>
        <v>0</v>
      </c>
      <c r="J74" s="306"/>
      <c r="K74" s="236"/>
      <c r="L74" s="237"/>
      <c r="M74" s="238">
        <v>67</v>
      </c>
      <c r="P74" s="232"/>
      <c r="Q74" s="263"/>
      <c r="R74" s="263"/>
      <c r="S74" s="263"/>
      <c r="T74" s="264"/>
      <c r="U74" s="265"/>
      <c r="V74" s="266"/>
      <c r="W74" s="266"/>
      <c r="X74" s="266"/>
      <c r="Y74" s="279"/>
      <c r="Z74" s="280"/>
      <c r="AA74" s="236"/>
      <c r="AB74" s="236"/>
      <c r="AC74" s="236"/>
      <c r="AD74" s="98"/>
    </row>
    <row r="75" ht="17.1" customHeight="1" outlineLevel="1" spans="2:30">
      <c r="B75" s="194" t="s">
        <v>622</v>
      </c>
      <c r="C75" s="64" t="s">
        <v>2293</v>
      </c>
      <c r="D75" s="65"/>
      <c r="E75" s="65"/>
      <c r="F75" s="108"/>
      <c r="G75" s="108"/>
      <c r="H75" s="108"/>
      <c r="I75" s="235" t="e">
        <f>SUM(I76:I76)</f>
        <v>#REF!</v>
      </c>
      <c r="J75" s="235" t="e">
        <f>IF(I75=0,"",IF(#REF!=0,"",I75*10000/#REF!))</f>
        <v>#REF!</v>
      </c>
      <c r="K75" s="236"/>
      <c r="L75" s="237"/>
      <c r="M75" s="238">
        <v>68</v>
      </c>
      <c r="P75" s="232"/>
      <c r="Q75" s="263"/>
      <c r="R75" s="263"/>
      <c r="S75" s="263"/>
      <c r="T75" s="264"/>
      <c r="U75" s="265"/>
      <c r="V75" s="266"/>
      <c r="W75" s="266"/>
      <c r="X75" s="266"/>
      <c r="Y75" s="279"/>
      <c r="Z75" s="280"/>
      <c r="AA75" s="236"/>
      <c r="AB75" s="236"/>
      <c r="AC75" s="236"/>
      <c r="AD75" s="98"/>
    </row>
    <row r="76" ht="17.1" customHeight="1" outlineLevel="2" spans="2:30">
      <c r="B76" s="195"/>
      <c r="C76" s="107" t="s">
        <v>2421</v>
      </c>
      <c r="D76" s="65" t="s">
        <v>602</v>
      </c>
      <c r="E76" s="65">
        <f>I3</f>
        <v>4</v>
      </c>
      <c r="F76" s="108" t="s">
        <v>1690</v>
      </c>
      <c r="G76" s="108" t="e">
        <f>$F$4</f>
        <v>#REF!</v>
      </c>
      <c r="H76" s="108">
        <f>HLOOKUP(L76,$U$8:$Y$151,M76,FALSE)</f>
        <v>1300000</v>
      </c>
      <c r="I76" s="306" t="e">
        <f t="shared" si="22"/>
        <v>#REF!</v>
      </c>
      <c r="J76" s="306"/>
      <c r="K76" s="236" t="s">
        <v>2422</v>
      </c>
      <c r="L76" s="222" t="str">
        <f>$I$2</f>
        <v>C</v>
      </c>
      <c r="M76" s="238">
        <v>69</v>
      </c>
      <c r="P76" s="232"/>
      <c r="Q76" s="263"/>
      <c r="R76" s="263"/>
      <c r="S76" s="263"/>
      <c r="T76" s="264"/>
      <c r="U76" s="265"/>
      <c r="V76" s="266"/>
      <c r="W76" s="266"/>
      <c r="X76" s="266">
        <v>1300000</v>
      </c>
      <c r="Y76" s="279"/>
      <c r="Z76" s="280"/>
      <c r="AA76" s="236"/>
      <c r="AB76" s="236"/>
      <c r="AC76" s="236"/>
      <c r="AD76" s="98"/>
    </row>
    <row r="77" ht="17.1" customHeight="1" outlineLevel="2" spans="2:30">
      <c r="B77" s="194" t="s">
        <v>622</v>
      </c>
      <c r="C77" s="64" t="s">
        <v>2294</v>
      </c>
      <c r="D77" s="65"/>
      <c r="E77" s="288"/>
      <c r="F77" s="108"/>
      <c r="G77" s="108"/>
      <c r="H77" s="203"/>
      <c r="I77" s="306"/>
      <c r="J77" s="306"/>
      <c r="K77" s="236"/>
      <c r="L77" s="222"/>
      <c r="M77" s="238">
        <v>70</v>
      </c>
      <c r="P77" s="232"/>
      <c r="Q77" s="263"/>
      <c r="R77" s="263"/>
      <c r="S77" s="263"/>
      <c r="T77" s="264"/>
      <c r="U77" s="265"/>
      <c r="V77" s="266"/>
      <c r="W77" s="266"/>
      <c r="X77" s="266"/>
      <c r="Y77" s="279"/>
      <c r="Z77" s="280"/>
      <c r="AA77" s="236"/>
      <c r="AB77" s="236"/>
      <c r="AC77" s="236"/>
      <c r="AD77" s="98"/>
    </row>
    <row r="78" ht="17.1" customHeight="1" outlineLevel="1" spans="2:30">
      <c r="B78" s="194" t="s">
        <v>622</v>
      </c>
      <c r="C78" s="64" t="s">
        <v>2295</v>
      </c>
      <c r="D78" s="65" t="s">
        <v>665</v>
      </c>
      <c r="E78" s="65"/>
      <c r="F78" s="108"/>
      <c r="G78" s="108"/>
      <c r="H78" s="108"/>
      <c r="I78" s="306" t="e">
        <f>I79</f>
        <v>#REF!</v>
      </c>
      <c r="J78" s="306" t="e">
        <f>IF(I78=0,"",IF(#REF!=0,"",I78*10000/#REF!))</f>
        <v>#REF!</v>
      </c>
      <c r="K78" s="236"/>
      <c r="L78" s="237"/>
      <c r="M78" s="238">
        <v>71</v>
      </c>
      <c r="P78" s="232"/>
      <c r="Q78" s="263"/>
      <c r="R78" s="263"/>
      <c r="S78" s="263"/>
      <c r="T78" s="264"/>
      <c r="U78" s="265"/>
      <c r="V78" s="266"/>
      <c r="W78" s="266"/>
      <c r="X78" s="266"/>
      <c r="Y78" s="279"/>
      <c r="Z78" s="280"/>
      <c r="AA78" s="236"/>
      <c r="AB78" s="236"/>
      <c r="AC78" s="236"/>
      <c r="AD78" s="98"/>
    </row>
    <row r="79" ht="17.1" customHeight="1" outlineLevel="3" spans="2:30">
      <c r="B79" s="195"/>
      <c r="C79" s="107" t="s">
        <v>2423</v>
      </c>
      <c r="D79" s="65" t="s">
        <v>665</v>
      </c>
      <c r="E79" s="65">
        <v>1</v>
      </c>
      <c r="F79" s="108" t="s">
        <v>1015</v>
      </c>
      <c r="G79" s="108" t="e">
        <f>$D$5</f>
        <v>#REF!</v>
      </c>
      <c r="H79" s="203">
        <f>HLOOKUP(L79,$U$8:$Y$151,M79,FALSE)</f>
        <v>100</v>
      </c>
      <c r="I79" s="306" t="e">
        <f t="shared" si="22"/>
        <v>#REF!</v>
      </c>
      <c r="J79" s="306"/>
      <c r="K79" s="236"/>
      <c r="L79" s="222" t="str">
        <f>$I$2</f>
        <v>C</v>
      </c>
      <c r="M79" s="238">
        <v>72</v>
      </c>
      <c r="P79" s="232"/>
      <c r="Q79" s="263"/>
      <c r="R79" s="263"/>
      <c r="S79" s="263"/>
      <c r="T79" s="264"/>
      <c r="U79" s="265"/>
      <c r="V79" s="266"/>
      <c r="W79" s="266"/>
      <c r="X79" s="266">
        <v>100</v>
      </c>
      <c r="Y79" s="279"/>
      <c r="Z79" s="280"/>
      <c r="AA79" s="236"/>
      <c r="AB79" s="236"/>
      <c r="AC79" s="236"/>
      <c r="AD79" s="98"/>
    </row>
    <row r="80" ht="17.1" customHeight="1" outlineLevel="3" spans="2:30">
      <c r="B80" s="194" t="s">
        <v>622</v>
      </c>
      <c r="C80" s="64" t="s">
        <v>933</v>
      </c>
      <c r="D80" s="65"/>
      <c r="E80" s="65"/>
      <c r="F80" s="108"/>
      <c r="G80" s="108"/>
      <c r="H80" s="112"/>
      <c r="I80" s="306"/>
      <c r="J80" s="306"/>
      <c r="K80" s="236"/>
      <c r="L80" s="222"/>
      <c r="M80" s="238">
        <v>73</v>
      </c>
      <c r="P80" s="232"/>
      <c r="Q80" s="263"/>
      <c r="R80" s="263"/>
      <c r="S80" s="263"/>
      <c r="T80" s="264"/>
      <c r="U80" s="265"/>
      <c r="V80" s="266"/>
      <c r="W80" s="266"/>
      <c r="X80" s="266"/>
      <c r="Y80" s="279"/>
      <c r="Z80" s="280"/>
      <c r="AA80" s="236"/>
      <c r="AB80" s="236"/>
      <c r="AC80" s="236"/>
      <c r="AD80" s="98"/>
    </row>
    <row r="81" ht="15.9" customHeight="1" spans="2:30">
      <c r="B81" s="102" t="s">
        <v>547</v>
      </c>
      <c r="C81" s="103" t="s">
        <v>2296</v>
      </c>
      <c r="D81" s="192"/>
      <c r="E81" s="192"/>
      <c r="F81" s="206"/>
      <c r="G81" s="206"/>
      <c r="H81" s="206"/>
      <c r="I81" s="150" t="e">
        <f>I82+I115+I140+I144+I155</f>
        <v>#REF!</v>
      </c>
      <c r="J81" s="150" t="e">
        <f>IF(I81=0,"",IF(#REF!=0,"",I81*10000/#REF!))</f>
        <v>#REF!</v>
      </c>
      <c r="K81" s="251"/>
      <c r="L81" s="231"/>
      <c r="M81" s="238">
        <v>74</v>
      </c>
      <c r="P81" s="232"/>
      <c r="Q81" s="263"/>
      <c r="R81" s="263"/>
      <c r="S81" s="263"/>
      <c r="T81" s="264"/>
      <c r="U81" s="265"/>
      <c r="V81" s="266"/>
      <c r="W81" s="266"/>
      <c r="X81" s="266"/>
      <c r="Y81" s="279"/>
      <c r="Z81" s="280"/>
      <c r="AA81" s="236"/>
      <c r="AB81" s="236"/>
      <c r="AC81" s="236"/>
      <c r="AD81" s="98"/>
    </row>
    <row r="82" ht="15.9" customHeight="1" spans="2:30">
      <c r="B82" s="120">
        <v>1</v>
      </c>
      <c r="C82" s="121" t="s">
        <v>550</v>
      </c>
      <c r="D82" s="193"/>
      <c r="E82" s="193"/>
      <c r="F82" s="155"/>
      <c r="G82" s="155"/>
      <c r="H82" s="155"/>
      <c r="I82" s="156" t="e">
        <f>I83+I92+I101+I109</f>
        <v>#REF!</v>
      </c>
      <c r="J82" s="156" t="e">
        <f>IF(I82=0,"",IF(#REF!=0,"",I82*10000/#REF!))</f>
        <v>#REF!</v>
      </c>
      <c r="K82" s="233"/>
      <c r="L82" s="234"/>
      <c r="M82" s="238">
        <v>75</v>
      </c>
      <c r="P82" s="232"/>
      <c r="Q82" s="263"/>
      <c r="R82" s="263"/>
      <c r="S82" s="263"/>
      <c r="T82" s="264"/>
      <c r="U82" s="265"/>
      <c r="V82" s="266"/>
      <c r="W82" s="266"/>
      <c r="X82" s="266"/>
      <c r="Y82" s="279"/>
      <c r="Z82" s="280"/>
      <c r="AA82" s="236"/>
      <c r="AB82" s="236"/>
      <c r="AC82" s="236"/>
      <c r="AD82" s="98"/>
    </row>
    <row r="83" ht="17.1" customHeight="1" outlineLevel="1" spans="2:30">
      <c r="B83" s="125" t="s">
        <v>619</v>
      </c>
      <c r="C83" s="289" t="s">
        <v>2297</v>
      </c>
      <c r="D83" s="290"/>
      <c r="E83" s="291"/>
      <c r="F83" s="292"/>
      <c r="G83" s="292"/>
      <c r="H83" s="293"/>
      <c r="I83" s="307" t="e">
        <f>SUM(I84:I91)</f>
        <v>#REF!</v>
      </c>
      <c r="J83" s="307" t="e">
        <f>IF(I83=0,"",IF(#REF!=0,"",I83*10000/#REF!))</f>
        <v>#REF!</v>
      </c>
      <c r="K83" s="308"/>
      <c r="L83" s="237"/>
      <c r="M83" s="238">
        <v>76</v>
      </c>
      <c r="P83" s="232"/>
      <c r="Q83" s="263"/>
      <c r="R83" s="263"/>
      <c r="S83" s="263"/>
      <c r="T83" s="264"/>
      <c r="U83" s="265"/>
      <c r="V83" s="266"/>
      <c r="W83" s="266"/>
      <c r="X83" s="266"/>
      <c r="Y83" s="279"/>
      <c r="Z83" s="280"/>
      <c r="AA83" s="236"/>
      <c r="AB83" s="236"/>
      <c r="AC83" s="236"/>
      <c r="AD83" s="98"/>
    </row>
    <row r="84" ht="17.1" customHeight="1" outlineLevel="2" spans="2:30">
      <c r="B84" s="194" t="s">
        <v>622</v>
      </c>
      <c r="C84" s="107" t="s">
        <v>2298</v>
      </c>
      <c r="D84" s="65" t="s">
        <v>665</v>
      </c>
      <c r="E84" s="296">
        <f t="shared" ref="E84:E87" si="23">HLOOKUP(L84,$P$8:$T$151,M84,FALSE)</f>
        <v>0.4</v>
      </c>
      <c r="F84" s="108" t="s">
        <v>1015</v>
      </c>
      <c r="G84" s="108" t="e">
        <f>$D$5</f>
        <v>#REF!</v>
      </c>
      <c r="H84" s="116">
        <f>HLOOKUP(L84,$U$8:$Y$151,M84,FALSE)</f>
        <v>30</v>
      </c>
      <c r="I84" s="116" t="e">
        <f t="shared" ref="I84:I91" si="24">E84*G84*H84/10000</f>
        <v>#REF!</v>
      </c>
      <c r="J84" s="116" t="e">
        <f>IF(I84=0,"",IF(#REF!=0,"",I84*10000/#REF!))</f>
        <v>#REF!</v>
      </c>
      <c r="K84" s="236"/>
      <c r="L84" s="222" t="str">
        <f t="shared" ref="L84:L91" si="25">$I$2</f>
        <v>C</v>
      </c>
      <c r="M84" s="238">
        <v>77</v>
      </c>
      <c r="P84" s="232"/>
      <c r="Q84" s="263"/>
      <c r="R84" s="263"/>
      <c r="S84" s="248">
        <v>0.4</v>
      </c>
      <c r="T84" s="247">
        <v>0.3</v>
      </c>
      <c r="U84" s="265"/>
      <c r="V84" s="266"/>
      <c r="W84" s="266"/>
      <c r="X84" s="266">
        <v>30</v>
      </c>
      <c r="Y84" s="279">
        <v>30</v>
      </c>
      <c r="Z84" s="280"/>
      <c r="AA84" s="236"/>
      <c r="AB84" s="236"/>
      <c r="AC84" s="236"/>
      <c r="AD84" s="98"/>
    </row>
    <row r="85" ht="17.1" customHeight="1" outlineLevel="2" spans="2:30">
      <c r="B85" s="194" t="s">
        <v>622</v>
      </c>
      <c r="C85" s="107" t="s">
        <v>2299</v>
      </c>
      <c r="D85" s="65" t="s">
        <v>665</v>
      </c>
      <c r="E85" s="296">
        <f t="shared" si="23"/>
        <v>1</v>
      </c>
      <c r="F85" s="108" t="s">
        <v>1015</v>
      </c>
      <c r="G85" s="108" t="e">
        <f>$D$5</f>
        <v>#REF!</v>
      </c>
      <c r="H85" s="116">
        <v>45</v>
      </c>
      <c r="I85" s="116" t="e">
        <f t="shared" si="24"/>
        <v>#REF!</v>
      </c>
      <c r="J85" s="116" t="e">
        <f>IF(I85=0,"",IF(#REF!=0,"",I85*10000/#REF!))</f>
        <v>#REF!</v>
      </c>
      <c r="K85" s="236"/>
      <c r="L85" s="222" t="str">
        <f t="shared" si="25"/>
        <v>C</v>
      </c>
      <c r="M85" s="238">
        <v>78</v>
      </c>
      <c r="P85" s="232"/>
      <c r="Q85" s="263"/>
      <c r="R85" s="263"/>
      <c r="S85" s="248">
        <v>1</v>
      </c>
      <c r="T85" s="247">
        <v>1.1</v>
      </c>
      <c r="U85" s="265"/>
      <c r="V85" s="266"/>
      <c r="W85" s="266"/>
      <c r="X85" s="266">
        <v>50</v>
      </c>
      <c r="Y85" s="279">
        <v>15</v>
      </c>
      <c r="Z85" s="280"/>
      <c r="AA85" s="236"/>
      <c r="AB85" s="236"/>
      <c r="AC85" s="236"/>
      <c r="AD85" s="98"/>
    </row>
    <row r="86" ht="17.1" customHeight="1" outlineLevel="2" spans="2:30">
      <c r="B86" s="194" t="s">
        <v>622</v>
      </c>
      <c r="C86" s="107" t="s">
        <v>2300</v>
      </c>
      <c r="D86" s="65" t="s">
        <v>665</v>
      </c>
      <c r="E86" s="364">
        <f t="shared" si="23"/>
        <v>0</v>
      </c>
      <c r="F86" s="108" t="s">
        <v>1015</v>
      </c>
      <c r="G86" s="108" t="e">
        <f>$D$5</f>
        <v>#REF!</v>
      </c>
      <c r="H86" s="116">
        <f t="shared" ref="H86:H91" si="26">HLOOKUP(L86,$U$8:$Y$151,M86,FALSE)</f>
        <v>100</v>
      </c>
      <c r="I86" s="116" t="e">
        <f t="shared" si="24"/>
        <v>#REF!</v>
      </c>
      <c r="J86" s="116"/>
      <c r="K86" s="236"/>
      <c r="L86" s="222" t="str">
        <f t="shared" si="25"/>
        <v>C</v>
      </c>
      <c r="M86" s="238">
        <v>79</v>
      </c>
      <c r="P86" s="232"/>
      <c r="Q86" s="263"/>
      <c r="R86" s="263"/>
      <c r="S86" s="248"/>
      <c r="T86" s="264"/>
      <c r="U86" s="265"/>
      <c r="V86" s="266"/>
      <c r="W86" s="266"/>
      <c r="X86" s="266">
        <v>100</v>
      </c>
      <c r="Y86" s="279">
        <v>100</v>
      </c>
      <c r="Z86" s="280"/>
      <c r="AA86" s="236"/>
      <c r="AB86" s="236"/>
      <c r="AC86" s="236"/>
      <c r="AD86" s="98"/>
    </row>
    <row r="87" ht="17.1" customHeight="1" outlineLevel="2" spans="2:30">
      <c r="B87" s="194" t="s">
        <v>622</v>
      </c>
      <c r="C87" s="107" t="s">
        <v>2301</v>
      </c>
      <c r="D87" s="65" t="s">
        <v>665</v>
      </c>
      <c r="E87" s="364">
        <f t="shared" si="23"/>
        <v>0</v>
      </c>
      <c r="F87" s="108" t="s">
        <v>1015</v>
      </c>
      <c r="G87" s="108" t="e">
        <f>$D$5</f>
        <v>#REF!</v>
      </c>
      <c r="H87" s="116">
        <f t="shared" si="26"/>
        <v>560</v>
      </c>
      <c r="I87" s="116" t="e">
        <f t="shared" si="24"/>
        <v>#REF!</v>
      </c>
      <c r="J87" s="116"/>
      <c r="K87" s="236"/>
      <c r="L87" s="222" t="str">
        <f t="shared" si="25"/>
        <v>C</v>
      </c>
      <c r="M87" s="238">
        <v>80</v>
      </c>
      <c r="P87" s="232"/>
      <c r="Q87" s="263"/>
      <c r="R87" s="263"/>
      <c r="S87" s="248"/>
      <c r="T87" s="264">
        <v>0</v>
      </c>
      <c r="U87" s="265"/>
      <c r="V87" s="266"/>
      <c r="W87" s="266"/>
      <c r="X87" s="266">
        <v>560</v>
      </c>
      <c r="Y87" s="279">
        <v>560</v>
      </c>
      <c r="Z87" s="280"/>
      <c r="AA87" s="236"/>
      <c r="AB87" s="236"/>
      <c r="AC87" s="236"/>
      <c r="AD87" s="98"/>
    </row>
    <row r="88" ht="17.1" customHeight="1" outlineLevel="2" spans="2:30">
      <c r="B88" s="194" t="s">
        <v>622</v>
      </c>
      <c r="C88" s="107" t="s">
        <v>2302</v>
      </c>
      <c r="D88" s="65" t="s">
        <v>2408</v>
      </c>
      <c r="E88" s="203"/>
      <c r="F88" s="108" t="s">
        <v>1785</v>
      </c>
      <c r="G88" s="108"/>
      <c r="H88" s="116">
        <f t="shared" si="26"/>
        <v>0</v>
      </c>
      <c r="I88" s="116">
        <f t="shared" si="24"/>
        <v>0</v>
      </c>
      <c r="J88" s="116"/>
      <c r="K88" s="236" t="s">
        <v>2422</v>
      </c>
      <c r="L88" s="222" t="str">
        <f t="shared" si="25"/>
        <v>C</v>
      </c>
      <c r="M88" s="238">
        <v>81</v>
      </c>
      <c r="P88" s="232"/>
      <c r="Q88" s="263"/>
      <c r="R88" s="263"/>
      <c r="S88" s="263"/>
      <c r="T88" s="264"/>
      <c r="U88" s="265"/>
      <c r="V88" s="266"/>
      <c r="W88" s="266"/>
      <c r="X88" s="266"/>
      <c r="Y88" s="279"/>
      <c r="Z88" s="280"/>
      <c r="AA88" s="236"/>
      <c r="AB88" s="236"/>
      <c r="AC88" s="236"/>
      <c r="AD88" s="98"/>
    </row>
    <row r="89" ht="17.1" customHeight="1" outlineLevel="2" spans="2:30">
      <c r="B89" s="194" t="s">
        <v>622</v>
      </c>
      <c r="C89" s="107" t="s">
        <v>2303</v>
      </c>
      <c r="D89" s="65" t="s">
        <v>665</v>
      </c>
      <c r="E89" s="203"/>
      <c r="F89" s="108" t="s">
        <v>1546</v>
      </c>
      <c r="G89" s="108" t="e">
        <f>$D$5</f>
        <v>#REF!</v>
      </c>
      <c r="H89" s="116">
        <f t="shared" si="26"/>
        <v>0</v>
      </c>
      <c r="I89" s="116" t="e">
        <f t="shared" si="24"/>
        <v>#REF!</v>
      </c>
      <c r="J89" s="116"/>
      <c r="K89" s="236" t="s">
        <v>2422</v>
      </c>
      <c r="L89" s="222" t="str">
        <f t="shared" si="25"/>
        <v>C</v>
      </c>
      <c r="M89" s="238">
        <v>82</v>
      </c>
      <c r="P89" s="232"/>
      <c r="Q89" s="263"/>
      <c r="R89" s="263"/>
      <c r="S89" s="263"/>
      <c r="T89" s="264"/>
      <c r="U89" s="265"/>
      <c r="V89" s="266"/>
      <c r="W89" s="266"/>
      <c r="X89" s="266"/>
      <c r="Y89" s="279"/>
      <c r="Z89" s="280"/>
      <c r="AA89" s="236"/>
      <c r="AB89" s="236"/>
      <c r="AC89" s="236"/>
      <c r="AD89" s="98"/>
    </row>
    <row r="90" ht="17.1" customHeight="1" outlineLevel="2" spans="2:30">
      <c r="B90" s="194" t="s">
        <v>622</v>
      </c>
      <c r="C90" s="107" t="s">
        <v>2304</v>
      </c>
      <c r="D90" s="65" t="s">
        <v>665</v>
      </c>
      <c r="E90" s="203"/>
      <c r="F90" s="108" t="s">
        <v>1015</v>
      </c>
      <c r="G90" s="108" t="e">
        <f>$D$5</f>
        <v>#REF!</v>
      </c>
      <c r="H90" s="116">
        <f t="shared" si="26"/>
        <v>300</v>
      </c>
      <c r="I90" s="116" t="e">
        <f t="shared" si="24"/>
        <v>#REF!</v>
      </c>
      <c r="J90" s="116"/>
      <c r="K90" s="236"/>
      <c r="L90" s="222" t="str">
        <f t="shared" si="25"/>
        <v>C</v>
      </c>
      <c r="M90" s="238">
        <v>83</v>
      </c>
      <c r="P90" s="232"/>
      <c r="Q90" s="263"/>
      <c r="R90" s="263"/>
      <c r="S90" s="263"/>
      <c r="T90" s="264"/>
      <c r="U90" s="265"/>
      <c r="V90" s="266"/>
      <c r="W90" s="266"/>
      <c r="X90" s="266">
        <v>300</v>
      </c>
      <c r="Y90" s="279"/>
      <c r="Z90" s="280"/>
      <c r="AA90" s="236"/>
      <c r="AB90" s="236"/>
      <c r="AC90" s="236"/>
      <c r="AD90" s="98"/>
    </row>
    <row r="91" ht="17.1" customHeight="1" outlineLevel="2" spans="2:30">
      <c r="B91" s="194" t="s">
        <v>622</v>
      </c>
      <c r="C91" s="107" t="s">
        <v>2424</v>
      </c>
      <c r="D91" s="65" t="s">
        <v>2425</v>
      </c>
      <c r="E91" s="108">
        <v>1</v>
      </c>
      <c r="F91" s="297"/>
      <c r="G91" s="108" t="e">
        <f>$F$3</f>
        <v>#REF!</v>
      </c>
      <c r="H91" s="116">
        <f t="shared" si="26"/>
        <v>100000</v>
      </c>
      <c r="I91" s="116" t="e">
        <f t="shared" si="24"/>
        <v>#REF!</v>
      </c>
      <c r="J91" s="116" t="e">
        <f>IF(I91=0,"",IF(#REF!=0,"",I91*10000/#REF!))</f>
        <v>#REF!</v>
      </c>
      <c r="K91" s="236"/>
      <c r="L91" s="222" t="str">
        <f t="shared" si="25"/>
        <v>C</v>
      </c>
      <c r="M91" s="238">
        <v>84</v>
      </c>
      <c r="P91" s="232"/>
      <c r="Q91" s="263"/>
      <c r="R91" s="263"/>
      <c r="S91" s="263"/>
      <c r="T91" s="264"/>
      <c r="U91" s="265"/>
      <c r="V91" s="266"/>
      <c r="W91" s="266"/>
      <c r="X91" s="266">
        <v>100000</v>
      </c>
      <c r="Y91" s="279"/>
      <c r="Z91" s="280"/>
      <c r="AA91" s="236"/>
      <c r="AB91" s="236"/>
      <c r="AC91" s="236"/>
      <c r="AD91" s="98"/>
    </row>
    <row r="92" ht="17.1" customHeight="1" outlineLevel="1" spans="2:30">
      <c r="B92" s="125" t="s">
        <v>657</v>
      </c>
      <c r="C92" s="289" t="s">
        <v>2306</v>
      </c>
      <c r="D92" s="290"/>
      <c r="E92" s="365"/>
      <c r="F92" s="292"/>
      <c r="G92" s="292"/>
      <c r="H92" s="293"/>
      <c r="I92" s="307" t="e">
        <f>SUM(I93:I100)</f>
        <v>#REF!</v>
      </c>
      <c r="J92" s="307" t="e">
        <f>IF(I92=0,"",IF(#REF!=0,"",I92*10000/#REF!))</f>
        <v>#REF!</v>
      </c>
      <c r="K92" s="309"/>
      <c r="L92" s="237"/>
      <c r="M92" s="238">
        <v>85</v>
      </c>
      <c r="P92" s="232"/>
      <c r="Q92" s="263"/>
      <c r="R92" s="263"/>
      <c r="S92" s="263"/>
      <c r="T92" s="264"/>
      <c r="U92" s="265"/>
      <c r="V92" s="266"/>
      <c r="W92" s="266"/>
      <c r="X92" s="266"/>
      <c r="Y92" s="279"/>
      <c r="Z92" s="280"/>
      <c r="AA92" s="236"/>
      <c r="AB92" s="236"/>
      <c r="AC92" s="236"/>
      <c r="AD92" s="98"/>
    </row>
    <row r="93" ht="17.1" customHeight="1" outlineLevel="2" spans="2:30">
      <c r="B93" s="194" t="s">
        <v>622</v>
      </c>
      <c r="C93" s="107" t="s">
        <v>2426</v>
      </c>
      <c r="D93" s="65" t="s">
        <v>2427</v>
      </c>
      <c r="E93" s="65">
        <f>6*2*2</f>
        <v>24</v>
      </c>
      <c r="F93" s="108" t="s">
        <v>2428</v>
      </c>
      <c r="G93" s="108" t="e">
        <f>$F$5+$F$4</f>
        <v>#REF!</v>
      </c>
      <c r="H93" s="116">
        <f t="shared" ref="H93:H100" si="27">HLOOKUP(L93,$U$8:$Y$151,M93,FALSE)</f>
        <v>60</v>
      </c>
      <c r="I93" s="116" t="e">
        <f t="shared" ref="I93:I100" si="28">E93*G93*H93/10000</f>
        <v>#REF!</v>
      </c>
      <c r="J93" s="116"/>
      <c r="K93" s="236" t="s">
        <v>2422</v>
      </c>
      <c r="L93" s="222" t="str">
        <f t="shared" ref="L93:L100" si="29">$I$2</f>
        <v>C</v>
      </c>
      <c r="M93" s="238">
        <v>86</v>
      </c>
      <c r="P93" s="232"/>
      <c r="Q93" s="263"/>
      <c r="R93" s="263"/>
      <c r="S93" s="263"/>
      <c r="T93" s="264"/>
      <c r="U93" s="265"/>
      <c r="V93" s="266"/>
      <c r="W93" s="266">
        <v>60</v>
      </c>
      <c r="X93" s="266">
        <v>60</v>
      </c>
      <c r="Y93" s="279"/>
      <c r="Z93" s="280"/>
      <c r="AA93" s="236"/>
      <c r="AB93" s="236"/>
      <c r="AC93" s="236"/>
      <c r="AD93" s="98"/>
    </row>
    <row r="94" ht="17.1" customHeight="1" outlineLevel="2" spans="2:30">
      <c r="B94" s="194" t="s">
        <v>622</v>
      </c>
      <c r="C94" s="107" t="s">
        <v>2429</v>
      </c>
      <c r="D94" s="65" t="s">
        <v>2408</v>
      </c>
      <c r="E94" s="65">
        <v>7</v>
      </c>
      <c r="F94" s="108" t="s">
        <v>1637</v>
      </c>
      <c r="G94" s="108" t="e">
        <f>$I$5</f>
        <v>#REF!</v>
      </c>
      <c r="H94" s="116">
        <f t="shared" si="27"/>
        <v>240</v>
      </c>
      <c r="I94" s="116" t="e">
        <f t="shared" si="28"/>
        <v>#REF!</v>
      </c>
      <c r="J94" s="116"/>
      <c r="K94" s="236" t="s">
        <v>2422</v>
      </c>
      <c r="L94" s="222" t="str">
        <f t="shared" si="29"/>
        <v>C</v>
      </c>
      <c r="M94" s="238">
        <v>87</v>
      </c>
      <c r="P94" s="232"/>
      <c r="Q94" s="263"/>
      <c r="R94" s="263"/>
      <c r="S94" s="263"/>
      <c r="T94" s="264"/>
      <c r="U94" s="265"/>
      <c r="V94" s="266"/>
      <c r="W94" s="266">
        <v>380</v>
      </c>
      <c r="X94" s="266">
        <v>240</v>
      </c>
      <c r="Y94" s="279"/>
      <c r="Z94" s="280"/>
      <c r="AA94" s="236"/>
      <c r="AB94" s="236"/>
      <c r="AC94" s="236"/>
      <c r="AD94" s="98"/>
    </row>
    <row r="95" ht="17.1" customHeight="1" outlineLevel="2" spans="2:30">
      <c r="B95" s="194" t="s">
        <v>622</v>
      </c>
      <c r="C95" s="107" t="s">
        <v>2430</v>
      </c>
      <c r="D95" s="65" t="s">
        <v>2431</v>
      </c>
      <c r="E95" s="65">
        <v>18</v>
      </c>
      <c r="F95" s="108" t="s">
        <v>1637</v>
      </c>
      <c r="G95" s="108" t="e">
        <f>$I$4*$F$4</f>
        <v>#REF!</v>
      </c>
      <c r="H95" s="116">
        <f t="shared" si="27"/>
        <v>150</v>
      </c>
      <c r="I95" s="116" t="e">
        <f t="shared" si="28"/>
        <v>#REF!</v>
      </c>
      <c r="J95" s="116"/>
      <c r="K95" s="236" t="s">
        <v>2422</v>
      </c>
      <c r="L95" s="222" t="str">
        <f t="shared" si="29"/>
        <v>C</v>
      </c>
      <c r="M95" s="238">
        <v>88</v>
      </c>
      <c r="P95" s="232"/>
      <c r="Q95" s="263"/>
      <c r="R95" s="263"/>
      <c r="S95" s="263"/>
      <c r="T95" s="264"/>
      <c r="U95" s="265"/>
      <c r="V95" s="266"/>
      <c r="W95" s="266">
        <v>150</v>
      </c>
      <c r="X95" s="266">
        <v>150</v>
      </c>
      <c r="Y95" s="279"/>
      <c r="Z95" s="280"/>
      <c r="AA95" s="236"/>
      <c r="AB95" s="236"/>
      <c r="AC95" s="236"/>
      <c r="AD95" s="98"/>
    </row>
    <row r="96" ht="17.1" customHeight="1" outlineLevel="2" spans="2:30">
      <c r="B96" s="194" t="s">
        <v>622</v>
      </c>
      <c r="C96" s="107" t="s">
        <v>2432</v>
      </c>
      <c r="D96" s="65" t="s">
        <v>2431</v>
      </c>
      <c r="E96" s="65"/>
      <c r="F96" s="108" t="s">
        <v>1681</v>
      </c>
      <c r="G96" s="108" t="e">
        <f>G95</f>
        <v>#REF!</v>
      </c>
      <c r="H96" s="116">
        <f t="shared" si="27"/>
        <v>0</v>
      </c>
      <c r="I96" s="116" t="e">
        <f t="shared" si="28"/>
        <v>#REF!</v>
      </c>
      <c r="J96" s="116"/>
      <c r="K96" s="236" t="s">
        <v>2422</v>
      </c>
      <c r="L96" s="222" t="str">
        <f t="shared" si="29"/>
        <v>C</v>
      </c>
      <c r="M96" s="238">
        <v>89</v>
      </c>
      <c r="P96" s="232"/>
      <c r="Q96" s="263"/>
      <c r="R96" s="263"/>
      <c r="S96" s="263"/>
      <c r="T96" s="264"/>
      <c r="U96" s="265"/>
      <c r="V96" s="266"/>
      <c r="W96" s="266"/>
      <c r="X96" s="266"/>
      <c r="Y96" s="279"/>
      <c r="Z96" s="280"/>
      <c r="AA96" s="236"/>
      <c r="AB96" s="236"/>
      <c r="AC96" s="236"/>
      <c r="AD96" s="98"/>
    </row>
    <row r="97" ht="17.1" customHeight="1" outlineLevel="2" spans="2:30">
      <c r="B97" s="194" t="s">
        <v>622</v>
      </c>
      <c r="C97" s="107" t="s">
        <v>2433</v>
      </c>
      <c r="D97" s="65" t="s">
        <v>2408</v>
      </c>
      <c r="E97" s="108">
        <v>6</v>
      </c>
      <c r="F97" s="108" t="s">
        <v>1637</v>
      </c>
      <c r="G97" s="108" t="e">
        <f>$I$5</f>
        <v>#REF!</v>
      </c>
      <c r="H97" s="116">
        <f t="shared" si="27"/>
        <v>100</v>
      </c>
      <c r="I97" s="116" t="e">
        <f t="shared" si="28"/>
        <v>#REF!</v>
      </c>
      <c r="J97" s="116"/>
      <c r="K97" s="236" t="s">
        <v>2422</v>
      </c>
      <c r="L97" s="222" t="str">
        <f t="shared" si="29"/>
        <v>C</v>
      </c>
      <c r="M97" s="238">
        <v>90</v>
      </c>
      <c r="P97" s="232"/>
      <c r="Q97" s="263"/>
      <c r="R97" s="263"/>
      <c r="S97" s="263"/>
      <c r="T97" s="264"/>
      <c r="U97" s="265"/>
      <c r="V97" s="266"/>
      <c r="W97" s="266">
        <v>100</v>
      </c>
      <c r="X97" s="266">
        <v>100</v>
      </c>
      <c r="Y97" s="279"/>
      <c r="Z97" s="280"/>
      <c r="AA97" s="236"/>
      <c r="AB97" s="236"/>
      <c r="AC97" s="236"/>
      <c r="AD97" s="98"/>
    </row>
    <row r="98" ht="17.1" customHeight="1" outlineLevel="2" spans="2:30">
      <c r="B98" s="194" t="s">
        <v>622</v>
      </c>
      <c r="C98" s="107" t="s">
        <v>2434</v>
      </c>
      <c r="D98" s="65" t="s">
        <v>2408</v>
      </c>
      <c r="E98" s="65">
        <v>7</v>
      </c>
      <c r="F98" s="108" t="s">
        <v>1785</v>
      </c>
      <c r="G98" s="108" t="e">
        <f>$I$5</f>
        <v>#REF!</v>
      </c>
      <c r="H98" s="116">
        <f t="shared" si="27"/>
        <v>180</v>
      </c>
      <c r="I98" s="116" t="e">
        <f t="shared" si="28"/>
        <v>#REF!</v>
      </c>
      <c r="J98" s="116"/>
      <c r="K98" s="236" t="s">
        <v>2422</v>
      </c>
      <c r="L98" s="222" t="str">
        <f t="shared" si="29"/>
        <v>C</v>
      </c>
      <c r="M98" s="238">
        <v>91</v>
      </c>
      <c r="P98" s="232"/>
      <c r="Q98" s="263"/>
      <c r="R98" s="263"/>
      <c r="S98" s="263"/>
      <c r="T98" s="264"/>
      <c r="U98" s="265"/>
      <c r="V98" s="266"/>
      <c r="W98" s="266">
        <v>200</v>
      </c>
      <c r="X98" s="266">
        <v>180</v>
      </c>
      <c r="Y98" s="279"/>
      <c r="Z98" s="280"/>
      <c r="AA98" s="236"/>
      <c r="AB98" s="236"/>
      <c r="AC98" s="236"/>
      <c r="AD98" s="98"/>
    </row>
    <row r="99" ht="17.1" customHeight="1" outlineLevel="2" spans="2:30">
      <c r="B99" s="194" t="s">
        <v>622</v>
      </c>
      <c r="C99" s="107" t="s">
        <v>2435</v>
      </c>
      <c r="D99" s="65" t="s">
        <v>665</v>
      </c>
      <c r="E99" s="108">
        <v>24</v>
      </c>
      <c r="F99" s="108" t="s">
        <v>1015</v>
      </c>
      <c r="G99" s="108" t="e">
        <f>$F$4</f>
        <v>#REF!</v>
      </c>
      <c r="H99" s="116">
        <f t="shared" si="27"/>
        <v>300</v>
      </c>
      <c r="I99" s="116" t="e">
        <f t="shared" si="28"/>
        <v>#REF!</v>
      </c>
      <c r="J99" s="116"/>
      <c r="K99" s="236" t="s">
        <v>2422</v>
      </c>
      <c r="L99" s="222" t="str">
        <f t="shared" si="29"/>
        <v>C</v>
      </c>
      <c r="M99" s="238">
        <v>92</v>
      </c>
      <c r="P99" s="232"/>
      <c r="Q99" s="263"/>
      <c r="R99" s="263"/>
      <c r="S99" s="263"/>
      <c r="T99" s="264"/>
      <c r="U99" s="265"/>
      <c r="V99" s="266"/>
      <c r="W99" s="266">
        <v>300</v>
      </c>
      <c r="X99" s="266">
        <v>300</v>
      </c>
      <c r="Y99" s="279"/>
      <c r="Z99" s="280"/>
      <c r="AA99" s="236"/>
      <c r="AB99" s="236"/>
      <c r="AC99" s="236"/>
      <c r="AD99" s="98"/>
    </row>
    <row r="100" ht="17.1" customHeight="1" outlineLevel="2" spans="2:30">
      <c r="B100" s="194" t="s">
        <v>622</v>
      </c>
      <c r="C100" s="107" t="s">
        <v>2436</v>
      </c>
      <c r="D100" s="65" t="s">
        <v>665</v>
      </c>
      <c r="E100" s="108">
        <v>1</v>
      </c>
      <c r="F100" s="108" t="s">
        <v>1015</v>
      </c>
      <c r="G100" s="108" t="e">
        <f>D5</f>
        <v>#REF!</v>
      </c>
      <c r="H100" s="116">
        <f t="shared" si="27"/>
        <v>2</v>
      </c>
      <c r="I100" s="116" t="e">
        <f t="shared" si="28"/>
        <v>#REF!</v>
      </c>
      <c r="J100" s="116"/>
      <c r="K100" s="236" t="s">
        <v>2422</v>
      </c>
      <c r="L100" s="222" t="str">
        <f t="shared" si="29"/>
        <v>C</v>
      </c>
      <c r="M100" s="238">
        <v>93</v>
      </c>
      <c r="P100" s="232"/>
      <c r="Q100" s="263"/>
      <c r="R100" s="263"/>
      <c r="S100" s="263"/>
      <c r="T100" s="264"/>
      <c r="U100" s="265"/>
      <c r="V100" s="266"/>
      <c r="W100" s="266">
        <v>2.2</v>
      </c>
      <c r="X100" s="266">
        <v>2</v>
      </c>
      <c r="Y100" s="279"/>
      <c r="Z100" s="280"/>
      <c r="AA100" s="236"/>
      <c r="AB100" s="236"/>
      <c r="AC100" s="236"/>
      <c r="AD100" s="98"/>
    </row>
    <row r="101" ht="17.1" customHeight="1" spans="2:30">
      <c r="B101" s="125" t="s">
        <v>762</v>
      </c>
      <c r="C101" s="289" t="s">
        <v>1803</v>
      </c>
      <c r="D101" s="366"/>
      <c r="E101" s="366"/>
      <c r="F101" s="313"/>
      <c r="G101" s="313"/>
      <c r="H101" s="313"/>
      <c r="I101" s="307" t="e">
        <f>I102+I103+I104+I107</f>
        <v>#REF!</v>
      </c>
      <c r="J101" s="311" t="e">
        <f>IF(I101=0,"",IF(#REF!=0,"",I101*10000/#REF!))</f>
        <v>#REF!</v>
      </c>
      <c r="K101" s="309"/>
      <c r="L101" s="234"/>
      <c r="M101" s="238">
        <v>94</v>
      </c>
      <c r="P101" s="232"/>
      <c r="Q101" s="263"/>
      <c r="R101" s="263"/>
      <c r="S101" s="263"/>
      <c r="T101" s="264"/>
      <c r="U101" s="265"/>
      <c r="V101" s="266"/>
      <c r="W101" s="266"/>
      <c r="X101" s="266"/>
      <c r="Y101" s="279"/>
      <c r="Z101" s="280"/>
      <c r="AA101" s="236"/>
      <c r="AB101" s="236"/>
      <c r="AC101" s="236"/>
      <c r="AD101" s="98"/>
    </row>
    <row r="102" ht="17.1" customHeight="1" outlineLevel="1" spans="2:30">
      <c r="B102" s="194" t="s">
        <v>622</v>
      </c>
      <c r="C102" s="64" t="s">
        <v>2437</v>
      </c>
      <c r="D102" s="65" t="s">
        <v>2438</v>
      </c>
      <c r="E102" s="65">
        <f>HLOOKUP(L102,$P$8:$T$151,M102,FALSE)</f>
        <v>3.15</v>
      </c>
      <c r="F102" s="108" t="s">
        <v>1998</v>
      </c>
      <c r="G102" s="203" t="e">
        <f>$F$4</f>
        <v>#REF!</v>
      </c>
      <c r="H102" s="116">
        <f t="shared" ref="H102:H106" si="30">HLOOKUP(L102,$U$8:$Y$151,M102,FALSE)</f>
        <v>500</v>
      </c>
      <c r="I102" s="198" t="e">
        <f t="shared" ref="I102:I106" si="31">E102*G102*H102/10000</f>
        <v>#REF!</v>
      </c>
      <c r="J102" s="198" t="e">
        <f>IF(I102=0,"",IF(#REF!=0,"",I102*10000/#REF!))</f>
        <v>#REF!</v>
      </c>
      <c r="K102" s="236"/>
      <c r="L102" s="222" t="s">
        <v>2374</v>
      </c>
      <c r="M102" s="238">
        <v>95</v>
      </c>
      <c r="P102" s="232"/>
      <c r="Q102" s="263"/>
      <c r="R102" s="263">
        <v>3.2</v>
      </c>
      <c r="S102" s="263">
        <v>3.15</v>
      </c>
      <c r="T102" s="264">
        <v>3.15</v>
      </c>
      <c r="U102" s="265"/>
      <c r="V102" s="266"/>
      <c r="W102" s="266"/>
      <c r="X102" s="266">
        <v>500</v>
      </c>
      <c r="Y102" s="279">
        <v>500</v>
      </c>
      <c r="Z102" s="280"/>
      <c r="AA102" s="236"/>
      <c r="AB102" s="236"/>
      <c r="AC102" s="236"/>
      <c r="AD102" s="98"/>
    </row>
    <row r="103" ht="17.1" customHeight="1" outlineLevel="1" spans="2:30">
      <c r="B103" s="194" t="s">
        <v>622</v>
      </c>
      <c r="C103" s="64" t="s">
        <v>1808</v>
      </c>
      <c r="D103" s="65" t="s">
        <v>2408</v>
      </c>
      <c r="E103" s="65">
        <f>HLOOKUP(L103,$P$8:$T$151,M103,FALSE)</f>
        <v>2.1</v>
      </c>
      <c r="F103" s="108" t="s">
        <v>1785</v>
      </c>
      <c r="G103" s="203" t="e">
        <f>$I$5</f>
        <v>#REF!</v>
      </c>
      <c r="H103" s="116">
        <f t="shared" si="30"/>
        <v>600</v>
      </c>
      <c r="I103" s="198" t="e">
        <f t="shared" si="31"/>
        <v>#REF!</v>
      </c>
      <c r="J103" s="198" t="e">
        <f>IF(I103=0,"",IF(#REF!=0,"",I103*10000/#REF!))</f>
        <v>#REF!</v>
      </c>
      <c r="K103" s="236"/>
      <c r="L103" s="222" t="s">
        <v>2374</v>
      </c>
      <c r="M103" s="238">
        <v>96</v>
      </c>
      <c r="P103" s="232">
        <f>2.4*1.2</f>
        <v>2.88</v>
      </c>
      <c r="Q103" s="263">
        <f>2.4*1.2</f>
        <v>2.88</v>
      </c>
      <c r="R103" s="263">
        <v>2.1</v>
      </c>
      <c r="S103" s="263">
        <f>2.1*1</f>
        <v>2.1</v>
      </c>
      <c r="T103" s="264">
        <v>2.1</v>
      </c>
      <c r="U103" s="265">
        <v>1050</v>
      </c>
      <c r="V103" s="266">
        <v>630</v>
      </c>
      <c r="W103" s="266">
        <v>630</v>
      </c>
      <c r="X103" s="266">
        <v>600</v>
      </c>
      <c r="Y103" s="279">
        <v>600</v>
      </c>
      <c r="Z103" s="312" t="s">
        <v>2439</v>
      </c>
      <c r="AA103" s="95"/>
      <c r="AB103" s="95"/>
      <c r="AC103" s="95"/>
      <c r="AD103" s="98"/>
    </row>
    <row r="104" ht="17.1" customHeight="1" outlineLevel="1" spans="2:30">
      <c r="B104" s="194" t="s">
        <v>622</v>
      </c>
      <c r="C104" s="367" t="s">
        <v>2307</v>
      </c>
      <c r="D104" s="299"/>
      <c r="E104" s="203"/>
      <c r="F104" s="108"/>
      <c r="G104" s="203"/>
      <c r="H104" s="116"/>
      <c r="I104" s="116" t="e">
        <f>SUM(I105:I106)</f>
        <v>#REF!</v>
      </c>
      <c r="J104" s="116" t="e">
        <f>IF(I104=0,"",IF(#REF!=0,"",I104*10000/#REF!))</f>
        <v>#REF!</v>
      </c>
      <c r="K104" s="236"/>
      <c r="L104" s="237"/>
      <c r="M104" s="238">
        <v>97</v>
      </c>
      <c r="P104" s="232"/>
      <c r="Q104" s="263"/>
      <c r="R104" s="263"/>
      <c r="S104" s="263"/>
      <c r="T104" s="264"/>
      <c r="U104" s="265"/>
      <c r="V104" s="266"/>
      <c r="W104" s="266"/>
      <c r="X104" s="266"/>
      <c r="Y104" s="279"/>
      <c r="Z104" s="280"/>
      <c r="AA104" s="236"/>
      <c r="AB104" s="236"/>
      <c r="AC104" s="236"/>
      <c r="AD104" s="98"/>
    </row>
    <row r="105" ht="17.1" customHeight="1" outlineLevel="2" spans="2:30">
      <c r="B105" s="195"/>
      <c r="C105" s="300" t="s">
        <v>2440</v>
      </c>
      <c r="D105" s="65" t="s">
        <v>1252</v>
      </c>
      <c r="E105" s="203">
        <v>5</v>
      </c>
      <c r="F105" s="108" t="s">
        <v>2441</v>
      </c>
      <c r="G105" s="203" t="e">
        <f>$F$5</f>
        <v>#REF!</v>
      </c>
      <c r="H105" s="116">
        <f t="shared" si="30"/>
        <v>1200</v>
      </c>
      <c r="I105" s="198" t="e">
        <f t="shared" si="31"/>
        <v>#REF!</v>
      </c>
      <c r="J105" s="198"/>
      <c r="K105" s="236" t="s">
        <v>2422</v>
      </c>
      <c r="L105" s="222" t="str">
        <f>$I$2</f>
        <v>C</v>
      </c>
      <c r="M105" s="238">
        <v>98</v>
      </c>
      <c r="P105" s="232"/>
      <c r="Q105" s="263"/>
      <c r="R105" s="263"/>
      <c r="S105" s="263"/>
      <c r="T105" s="264"/>
      <c r="U105" s="265">
        <v>1200</v>
      </c>
      <c r="V105" s="266">
        <v>1200</v>
      </c>
      <c r="W105" s="266">
        <v>1200</v>
      </c>
      <c r="X105" s="266">
        <v>1200</v>
      </c>
      <c r="Y105" s="279">
        <v>1200</v>
      </c>
      <c r="Z105" s="280"/>
      <c r="AA105" s="236"/>
      <c r="AB105" s="236"/>
      <c r="AC105" s="236"/>
      <c r="AD105" s="98"/>
    </row>
    <row r="106" ht="17.1" customHeight="1" outlineLevel="2" spans="2:30">
      <c r="B106" s="195"/>
      <c r="C106" s="300" t="s">
        <v>2442</v>
      </c>
      <c r="D106" s="65" t="s">
        <v>665</v>
      </c>
      <c r="E106" s="203">
        <v>3</v>
      </c>
      <c r="F106" s="108" t="s">
        <v>1015</v>
      </c>
      <c r="G106" s="203" t="e">
        <f>$F$5</f>
        <v>#REF!</v>
      </c>
      <c r="H106" s="116">
        <f t="shared" si="30"/>
        <v>900</v>
      </c>
      <c r="I106" s="198" t="e">
        <f t="shared" si="31"/>
        <v>#REF!</v>
      </c>
      <c r="J106" s="198"/>
      <c r="K106" s="236" t="s">
        <v>2422</v>
      </c>
      <c r="L106" s="222" t="str">
        <f>$I$2</f>
        <v>C</v>
      </c>
      <c r="M106" s="238">
        <v>99</v>
      </c>
      <c r="P106" s="232"/>
      <c r="Q106" s="263"/>
      <c r="R106" s="263"/>
      <c r="S106" s="263"/>
      <c r="T106" s="264"/>
      <c r="U106" s="265">
        <v>900</v>
      </c>
      <c r="V106" s="266">
        <v>900</v>
      </c>
      <c r="W106" s="266">
        <v>900</v>
      </c>
      <c r="X106" s="266">
        <v>900</v>
      </c>
      <c r="Y106" s="279">
        <v>900</v>
      </c>
      <c r="Z106" s="280"/>
      <c r="AA106" s="236"/>
      <c r="AB106" s="236"/>
      <c r="AC106" s="236"/>
      <c r="AD106" s="98"/>
    </row>
    <row r="107" ht="17.1" customHeight="1" outlineLevel="1" spans="2:30">
      <c r="B107" s="194" t="s">
        <v>622</v>
      </c>
      <c r="C107" s="367" t="s">
        <v>1813</v>
      </c>
      <c r="D107" s="197"/>
      <c r="E107" s="203"/>
      <c r="F107" s="108"/>
      <c r="G107" s="108"/>
      <c r="H107" s="116"/>
      <c r="I107" s="116" t="e">
        <f>SUM(I108:I108)</f>
        <v>#REF!</v>
      </c>
      <c r="J107" s="116" t="e">
        <f>IF(I107=0,"",IF(#REF!=0,"",I107*10000/#REF!))</f>
        <v>#REF!</v>
      </c>
      <c r="K107" s="236"/>
      <c r="L107" s="237"/>
      <c r="M107" s="238">
        <v>100</v>
      </c>
      <c r="P107" s="232"/>
      <c r="Q107" s="263"/>
      <c r="R107" s="263"/>
      <c r="S107" s="263"/>
      <c r="T107" s="264"/>
      <c r="U107" s="265"/>
      <c r="V107" s="266"/>
      <c r="W107" s="266"/>
      <c r="X107" s="266"/>
      <c r="Y107" s="279"/>
      <c r="Z107" s="280"/>
      <c r="AA107" s="236"/>
      <c r="AB107" s="236"/>
      <c r="AC107" s="236"/>
      <c r="AD107" s="98"/>
    </row>
    <row r="108" ht="17.1" customHeight="1" outlineLevel="2" spans="2:30">
      <c r="B108" s="195"/>
      <c r="C108" s="300" t="s">
        <v>2443</v>
      </c>
      <c r="D108" s="65" t="s">
        <v>2444</v>
      </c>
      <c r="E108" s="200">
        <f>HLOOKUP(L108,$P$8:$T$151,M108,FALSE)-0.01</f>
        <v>0.16</v>
      </c>
      <c r="F108" s="108" t="s">
        <v>1015</v>
      </c>
      <c r="G108" s="108" t="e">
        <f>D5</f>
        <v>#REF!</v>
      </c>
      <c r="H108" s="116">
        <f t="shared" ref="H108:H114" si="32">HLOOKUP(L108,$U$8:$Y$151,M108,FALSE)</f>
        <v>650</v>
      </c>
      <c r="I108" s="116" t="e">
        <f t="shared" ref="I108:I114" si="33">E108*G108*H108/10000</f>
        <v>#REF!</v>
      </c>
      <c r="J108" s="116"/>
      <c r="K108" s="236"/>
      <c r="L108" s="222" t="s">
        <v>2374</v>
      </c>
      <c r="M108" s="238">
        <v>101</v>
      </c>
      <c r="P108" s="232">
        <v>0.21</v>
      </c>
      <c r="Q108" s="263">
        <v>0.2</v>
      </c>
      <c r="R108" s="263">
        <v>0.2</v>
      </c>
      <c r="S108" s="263">
        <v>0.17</v>
      </c>
      <c r="T108" s="263">
        <v>0.17</v>
      </c>
      <c r="U108" s="265">
        <v>800</v>
      </c>
      <c r="V108" s="266">
        <v>750</v>
      </c>
      <c r="W108" s="266">
        <v>700</v>
      </c>
      <c r="X108" s="266">
        <v>650</v>
      </c>
      <c r="Y108" s="279">
        <v>550</v>
      </c>
      <c r="Z108" s="280"/>
      <c r="AA108" s="236"/>
      <c r="AB108" s="236"/>
      <c r="AC108" s="236"/>
      <c r="AD108" s="98"/>
    </row>
    <row r="109" ht="17.1" customHeight="1" outlineLevel="1" spans="2:30">
      <c r="B109" s="125" t="s">
        <v>778</v>
      </c>
      <c r="C109" s="126" t="s">
        <v>1275</v>
      </c>
      <c r="D109" s="290"/>
      <c r="E109" s="292"/>
      <c r="F109" s="292"/>
      <c r="G109" s="292"/>
      <c r="H109" s="293"/>
      <c r="I109" s="307" t="e">
        <f>SUM(I110:I114)</f>
        <v>#REF!</v>
      </c>
      <c r="J109" s="307" t="e">
        <f>IF(I109=0,"",IF(#REF!=0,"",I109*10000/#REF!))</f>
        <v>#REF!</v>
      </c>
      <c r="K109" s="309"/>
      <c r="L109" s="237"/>
      <c r="M109" s="238">
        <v>102</v>
      </c>
      <c r="P109" s="232"/>
      <c r="Q109" s="263"/>
      <c r="R109" s="263"/>
      <c r="S109" s="263"/>
      <c r="T109" s="264"/>
      <c r="U109" s="265"/>
      <c r="V109" s="266"/>
      <c r="W109" s="266"/>
      <c r="X109" s="266"/>
      <c r="Y109" s="279"/>
      <c r="Z109" s="280"/>
      <c r="AA109" s="236"/>
      <c r="AB109" s="236"/>
      <c r="AC109" s="236"/>
      <c r="AD109" s="98"/>
    </row>
    <row r="110" ht="17.1" customHeight="1" outlineLevel="2" spans="2:30">
      <c r="B110" s="194" t="s">
        <v>622</v>
      </c>
      <c r="C110" s="107" t="s">
        <v>2445</v>
      </c>
      <c r="D110" s="65" t="s">
        <v>2446</v>
      </c>
      <c r="E110" s="203">
        <f>E39</f>
        <v>1.3</v>
      </c>
      <c r="F110" s="108" t="s">
        <v>1015</v>
      </c>
      <c r="G110" s="108" t="e">
        <f>$D$3</f>
        <v>#REF!</v>
      </c>
      <c r="H110" s="116">
        <f t="shared" si="32"/>
        <v>35</v>
      </c>
      <c r="I110" s="116" t="e">
        <f t="shared" si="33"/>
        <v>#REF!</v>
      </c>
      <c r="J110" s="116"/>
      <c r="K110" s="236"/>
      <c r="L110" s="222" t="str">
        <f>$I$2</f>
        <v>C</v>
      </c>
      <c r="M110" s="238">
        <v>103</v>
      </c>
      <c r="P110" s="232"/>
      <c r="Q110" s="263"/>
      <c r="R110" s="263"/>
      <c r="S110" s="263"/>
      <c r="T110" s="264"/>
      <c r="U110" s="265">
        <v>35</v>
      </c>
      <c r="V110" s="266">
        <v>35</v>
      </c>
      <c r="W110" s="266">
        <v>35</v>
      </c>
      <c r="X110" s="266">
        <v>35</v>
      </c>
      <c r="Y110" s="279">
        <v>35</v>
      </c>
      <c r="Z110" s="280"/>
      <c r="AA110" s="236"/>
      <c r="AB110" s="236"/>
      <c r="AC110" s="236"/>
      <c r="AD110" s="98"/>
    </row>
    <row r="111" ht="17.1" customHeight="1" outlineLevel="2" spans="2:30">
      <c r="B111" s="194" t="s">
        <v>622</v>
      </c>
      <c r="C111" s="107" t="s">
        <v>2447</v>
      </c>
      <c r="D111" s="65" t="s">
        <v>2408</v>
      </c>
      <c r="E111" s="65">
        <v>1</v>
      </c>
      <c r="F111" s="297"/>
      <c r="G111" s="108" t="e">
        <f>$I$5</f>
        <v>#REF!</v>
      </c>
      <c r="H111" s="116">
        <f t="shared" si="32"/>
        <v>50</v>
      </c>
      <c r="I111" s="116" t="e">
        <f t="shared" si="33"/>
        <v>#REF!</v>
      </c>
      <c r="J111" s="116"/>
      <c r="K111" s="236" t="s">
        <v>2422</v>
      </c>
      <c r="L111" s="222" t="str">
        <f>$I$2</f>
        <v>C</v>
      </c>
      <c r="M111" s="238">
        <v>104</v>
      </c>
      <c r="P111" s="232"/>
      <c r="Q111" s="263"/>
      <c r="R111" s="263"/>
      <c r="S111" s="263"/>
      <c r="T111" s="264"/>
      <c r="U111" s="265"/>
      <c r="V111" s="266"/>
      <c r="W111" s="266"/>
      <c r="X111" s="266">
        <v>50</v>
      </c>
      <c r="Y111" s="279"/>
      <c r="Z111" s="280"/>
      <c r="AA111" s="236"/>
      <c r="AB111" s="236"/>
      <c r="AC111" s="236"/>
      <c r="AD111" s="98"/>
    </row>
    <row r="112" ht="17.1" customHeight="1" outlineLevel="2" spans="2:30">
      <c r="B112" s="194" t="s">
        <v>622</v>
      </c>
      <c r="C112" s="107" t="s">
        <v>2448</v>
      </c>
      <c r="D112" s="65" t="s">
        <v>2427</v>
      </c>
      <c r="E112" s="65">
        <v>2</v>
      </c>
      <c r="F112" s="108" t="s">
        <v>2449</v>
      </c>
      <c r="G112" s="203" t="e">
        <f>$F$5+$F$4</f>
        <v>#REF!</v>
      </c>
      <c r="H112" s="116">
        <f t="shared" si="32"/>
        <v>500</v>
      </c>
      <c r="I112" s="116" t="e">
        <f t="shared" si="33"/>
        <v>#REF!</v>
      </c>
      <c r="J112" s="116"/>
      <c r="K112" s="236" t="s">
        <v>2422</v>
      </c>
      <c r="L112" s="222" t="str">
        <f>$I$2</f>
        <v>C</v>
      </c>
      <c r="M112" s="238">
        <v>105</v>
      </c>
      <c r="P112" s="232"/>
      <c r="Q112" s="263"/>
      <c r="R112" s="263"/>
      <c r="S112" s="263"/>
      <c r="T112" s="264"/>
      <c r="U112" s="265"/>
      <c r="V112" s="266"/>
      <c r="W112" s="266"/>
      <c r="X112" s="266">
        <v>500</v>
      </c>
      <c r="Y112" s="279"/>
      <c r="Z112" s="280"/>
      <c r="AA112" s="236"/>
      <c r="AB112" s="236"/>
      <c r="AC112" s="236"/>
      <c r="AD112" s="98"/>
    </row>
    <row r="113" ht="17.1" customHeight="1" outlineLevel="2" spans="2:30">
      <c r="B113" s="194" t="s">
        <v>622</v>
      </c>
      <c r="C113" s="107" t="s">
        <v>2450</v>
      </c>
      <c r="D113" s="65" t="s">
        <v>2425</v>
      </c>
      <c r="E113" s="65">
        <v>2</v>
      </c>
      <c r="F113" s="108" t="s">
        <v>2451</v>
      </c>
      <c r="G113" s="108" t="e">
        <f>$F$3</f>
        <v>#REF!</v>
      </c>
      <c r="H113" s="116">
        <f t="shared" si="32"/>
        <v>2000</v>
      </c>
      <c r="I113" s="116" t="e">
        <f t="shared" si="33"/>
        <v>#REF!</v>
      </c>
      <c r="J113" s="116"/>
      <c r="K113" s="236" t="s">
        <v>2422</v>
      </c>
      <c r="L113" s="222" t="str">
        <f>$I$2</f>
        <v>C</v>
      </c>
      <c r="M113" s="238">
        <v>106</v>
      </c>
      <c r="P113" s="232"/>
      <c r="Q113" s="263"/>
      <c r="R113" s="263"/>
      <c r="S113" s="263"/>
      <c r="T113" s="264"/>
      <c r="U113" s="265"/>
      <c r="V113" s="266"/>
      <c r="W113" s="266"/>
      <c r="X113" s="266">
        <v>2000</v>
      </c>
      <c r="Y113" s="279"/>
      <c r="Z113" s="280"/>
      <c r="AA113" s="236"/>
      <c r="AB113" s="236"/>
      <c r="AC113" s="236"/>
      <c r="AD113" s="98"/>
    </row>
    <row r="114" ht="17.1" customHeight="1" outlineLevel="2" spans="2:30">
      <c r="B114" s="194" t="s">
        <v>622</v>
      </c>
      <c r="C114" s="107" t="s">
        <v>2452</v>
      </c>
      <c r="D114" s="65" t="s">
        <v>2408</v>
      </c>
      <c r="E114" s="65">
        <v>1</v>
      </c>
      <c r="F114" s="297"/>
      <c r="G114" s="108" t="e">
        <f>$I$5</f>
        <v>#REF!</v>
      </c>
      <c r="H114" s="116">
        <f t="shared" si="32"/>
        <v>90</v>
      </c>
      <c r="I114" s="116" t="e">
        <f t="shared" si="33"/>
        <v>#REF!</v>
      </c>
      <c r="J114" s="116"/>
      <c r="K114" s="236" t="s">
        <v>2422</v>
      </c>
      <c r="L114" s="222" t="str">
        <f>$I$2</f>
        <v>C</v>
      </c>
      <c r="M114" s="238">
        <v>107</v>
      </c>
      <c r="P114" s="232"/>
      <c r="Q114" s="263"/>
      <c r="R114" s="263"/>
      <c r="S114" s="263"/>
      <c r="T114" s="264"/>
      <c r="U114" s="265"/>
      <c r="V114" s="266"/>
      <c r="W114" s="266"/>
      <c r="X114" s="266">
        <v>90</v>
      </c>
      <c r="Y114" s="279"/>
      <c r="Z114" s="280"/>
      <c r="AA114" s="236"/>
      <c r="AB114" s="236"/>
      <c r="AC114" s="236"/>
      <c r="AD114" s="98"/>
    </row>
    <row r="115" ht="17.1" customHeight="1" spans="2:30">
      <c r="B115" s="120">
        <v>2</v>
      </c>
      <c r="C115" s="121" t="s">
        <v>552</v>
      </c>
      <c r="D115" s="193"/>
      <c r="E115" s="193"/>
      <c r="F115" s="155"/>
      <c r="G115" s="155"/>
      <c r="H115" s="155"/>
      <c r="I115" s="156" t="e">
        <f>I116+I121+I122+I123+I125+I129</f>
        <v>#REF!</v>
      </c>
      <c r="J115" s="156" t="e">
        <f>IF(I115=0,"",IF(#REF!=0,"",I115*10000/#REF!))</f>
        <v>#REF!</v>
      </c>
      <c r="K115" s="233"/>
      <c r="L115" s="234"/>
      <c r="M115" s="238">
        <v>108</v>
      </c>
      <c r="P115" s="232"/>
      <c r="Q115" s="263"/>
      <c r="R115" s="263"/>
      <c r="S115" s="263"/>
      <c r="T115" s="264"/>
      <c r="U115" s="265"/>
      <c r="V115" s="266"/>
      <c r="W115" s="266"/>
      <c r="X115" s="266"/>
      <c r="Y115" s="279"/>
      <c r="Z115" s="280"/>
      <c r="AA115" s="236"/>
      <c r="AB115" s="236"/>
      <c r="AC115" s="236"/>
      <c r="AD115" s="98"/>
    </row>
    <row r="116" ht="17.1" customHeight="1" outlineLevel="1" spans="2:30">
      <c r="B116" s="125" t="s">
        <v>619</v>
      </c>
      <c r="C116" s="126" t="s">
        <v>2309</v>
      </c>
      <c r="D116" s="290"/>
      <c r="E116" s="292"/>
      <c r="F116" s="292"/>
      <c r="G116" s="292"/>
      <c r="H116" s="301" t="e">
        <f>SUM(I117:I119)*10000/E117/G117</f>
        <v>#REF!</v>
      </c>
      <c r="I116" s="307" t="e">
        <f>SUM(I117:I120)</f>
        <v>#REF!</v>
      </c>
      <c r="J116" s="307" t="e">
        <f>IF(I116=0,"",IF(#REF!=0,"",I116*10000/#REF!))</f>
        <v>#REF!</v>
      </c>
      <c r="K116" s="309"/>
      <c r="L116" s="237"/>
      <c r="M116" s="238">
        <v>109</v>
      </c>
      <c r="P116" s="232"/>
      <c r="Q116" s="263"/>
      <c r="R116" s="263"/>
      <c r="S116" s="263"/>
      <c r="T116" s="264"/>
      <c r="U116" s="265"/>
      <c r="V116" s="266"/>
      <c r="W116" s="266"/>
      <c r="X116" s="266"/>
      <c r="Y116" s="279"/>
      <c r="Z116" s="280"/>
      <c r="AA116" s="236"/>
      <c r="AB116" s="236"/>
      <c r="AC116" s="236"/>
      <c r="AD116" s="98"/>
    </row>
    <row r="117" ht="17.1" customHeight="1" outlineLevel="2" spans="2:30">
      <c r="B117" s="194" t="s">
        <v>622</v>
      </c>
      <c r="C117" s="107" t="s">
        <v>2453</v>
      </c>
      <c r="D117" s="197" t="s">
        <v>2454</v>
      </c>
      <c r="E117" s="113">
        <f t="shared" ref="E117:E120" si="34">HLOOKUP(L117,$P$8:$T$151,M117,FALSE)</f>
        <v>55</v>
      </c>
      <c r="F117" s="108" t="s">
        <v>1832</v>
      </c>
      <c r="G117" s="368" t="e">
        <f>$F$4</f>
        <v>#REF!</v>
      </c>
      <c r="H117" s="369">
        <f t="shared" ref="H117:H120" si="35">HLOOKUP(L117,$U$8:$Y$151,M117,FALSE)</f>
        <v>400</v>
      </c>
      <c r="I117" s="116" t="e">
        <f t="shared" ref="I117:I120" si="36">E117*G117*H117/10000</f>
        <v>#REF!</v>
      </c>
      <c r="J117" s="116"/>
      <c r="K117" s="236" t="s">
        <v>2455</v>
      </c>
      <c r="L117" s="222" t="s">
        <v>2374</v>
      </c>
      <c r="M117" s="238">
        <v>110</v>
      </c>
      <c r="P117" s="232"/>
      <c r="Q117" s="263"/>
      <c r="R117" s="263"/>
      <c r="S117" s="248">
        <v>55</v>
      </c>
      <c r="T117" s="264">
        <v>50</v>
      </c>
      <c r="U117" s="265"/>
      <c r="V117" s="266"/>
      <c r="W117" s="266"/>
      <c r="X117" s="266">
        <v>400</v>
      </c>
      <c r="Y117" s="279">
        <v>160</v>
      </c>
      <c r="Z117" s="280"/>
      <c r="AA117" s="236"/>
      <c r="AB117" s="236"/>
      <c r="AC117" s="236"/>
      <c r="AD117" s="98"/>
    </row>
    <row r="118" ht="17.1" customHeight="1" outlineLevel="2" spans="2:30">
      <c r="B118" s="194" t="s">
        <v>622</v>
      </c>
      <c r="C118" s="107" t="s">
        <v>2456</v>
      </c>
      <c r="D118" s="197" t="s">
        <v>2454</v>
      </c>
      <c r="E118" s="113">
        <f t="shared" si="34"/>
        <v>55</v>
      </c>
      <c r="F118" s="108" t="s">
        <v>1832</v>
      </c>
      <c r="G118" s="368" t="e">
        <f>$F$4</f>
        <v>#REF!</v>
      </c>
      <c r="H118" s="369">
        <f t="shared" si="35"/>
        <v>400</v>
      </c>
      <c r="I118" s="116" t="e">
        <f t="shared" si="36"/>
        <v>#REF!</v>
      </c>
      <c r="J118" s="116"/>
      <c r="K118" s="236" t="s">
        <v>2455</v>
      </c>
      <c r="L118" s="222" t="s">
        <v>2374</v>
      </c>
      <c r="M118" s="238">
        <v>111</v>
      </c>
      <c r="P118" s="232"/>
      <c r="Q118" s="263"/>
      <c r="R118" s="263"/>
      <c r="S118" s="248">
        <v>55</v>
      </c>
      <c r="T118" s="264">
        <v>50</v>
      </c>
      <c r="U118" s="265"/>
      <c r="V118" s="266"/>
      <c r="W118" s="266"/>
      <c r="X118" s="266">
        <v>400</v>
      </c>
      <c r="Y118" s="279">
        <v>200</v>
      </c>
      <c r="Z118" s="280"/>
      <c r="AA118" s="236"/>
      <c r="AB118" s="236"/>
      <c r="AC118" s="236"/>
      <c r="AD118" s="98"/>
    </row>
    <row r="119" ht="17.1" customHeight="1" outlineLevel="2" spans="2:30">
      <c r="B119" s="194" t="s">
        <v>622</v>
      </c>
      <c r="C119" s="107" t="s">
        <v>2457</v>
      </c>
      <c r="D119" s="197" t="s">
        <v>2454</v>
      </c>
      <c r="E119" s="113">
        <f t="shared" si="34"/>
        <v>165</v>
      </c>
      <c r="F119" s="108" t="s">
        <v>1832</v>
      </c>
      <c r="G119" s="368" t="e">
        <f>$F$4</f>
        <v>#REF!</v>
      </c>
      <c r="H119" s="369">
        <f t="shared" si="35"/>
        <v>400</v>
      </c>
      <c r="I119" s="116" t="e">
        <f t="shared" si="36"/>
        <v>#REF!</v>
      </c>
      <c r="J119" s="116"/>
      <c r="K119" s="236" t="s">
        <v>2455</v>
      </c>
      <c r="L119" s="222" t="s">
        <v>2374</v>
      </c>
      <c r="M119" s="238">
        <v>112</v>
      </c>
      <c r="P119" s="232"/>
      <c r="Q119" s="263"/>
      <c r="R119" s="263"/>
      <c r="S119" s="248">
        <f>S118*3</f>
        <v>165</v>
      </c>
      <c r="T119" s="264">
        <f>T118*2.4</f>
        <v>120</v>
      </c>
      <c r="U119" s="265"/>
      <c r="V119" s="266"/>
      <c r="W119" s="266"/>
      <c r="X119" s="266">
        <v>400</v>
      </c>
      <c r="Y119" s="279">
        <v>350</v>
      </c>
      <c r="Z119" s="280"/>
      <c r="AA119" s="236"/>
      <c r="AB119" s="236"/>
      <c r="AC119" s="236"/>
      <c r="AD119" s="98"/>
    </row>
    <row r="120" ht="17.1" customHeight="1" outlineLevel="2" spans="2:30">
      <c r="B120" s="194" t="s">
        <v>622</v>
      </c>
      <c r="C120" s="107" t="s">
        <v>2458</v>
      </c>
      <c r="D120" s="197"/>
      <c r="E120" s="113">
        <f t="shared" si="34"/>
        <v>55</v>
      </c>
      <c r="F120" s="108" t="s">
        <v>1832</v>
      </c>
      <c r="G120" s="368" t="e">
        <f>$F$4</f>
        <v>#REF!</v>
      </c>
      <c r="H120" s="369">
        <f t="shared" si="35"/>
        <v>600</v>
      </c>
      <c r="I120" s="116" t="e">
        <f t="shared" si="36"/>
        <v>#REF!</v>
      </c>
      <c r="J120" s="116"/>
      <c r="K120" s="236" t="s">
        <v>2455</v>
      </c>
      <c r="L120" s="222" t="str">
        <f>$I$2</f>
        <v>C</v>
      </c>
      <c r="M120" s="238">
        <v>113</v>
      </c>
      <c r="P120" s="232"/>
      <c r="Q120" s="263"/>
      <c r="R120" s="263"/>
      <c r="S120" s="248">
        <v>55</v>
      </c>
      <c r="T120" s="264">
        <v>50</v>
      </c>
      <c r="U120" s="265"/>
      <c r="V120" s="266"/>
      <c r="W120" s="266"/>
      <c r="X120" s="266">
        <v>600</v>
      </c>
      <c r="Y120" s="279">
        <v>400</v>
      </c>
      <c r="Z120" s="280"/>
      <c r="AA120" s="236"/>
      <c r="AB120" s="236"/>
      <c r="AC120" s="236"/>
      <c r="AD120" s="98"/>
    </row>
    <row r="121" ht="17.1" customHeight="1" outlineLevel="2" spans="2:30">
      <c r="B121" s="125" t="s">
        <v>657</v>
      </c>
      <c r="C121" s="126" t="s">
        <v>1844</v>
      </c>
      <c r="D121" s="370"/>
      <c r="E121" s="371"/>
      <c r="F121" s="292"/>
      <c r="G121" s="372"/>
      <c r="H121" s="373"/>
      <c r="I121" s="307"/>
      <c r="J121" s="307"/>
      <c r="K121" s="309"/>
      <c r="L121" s="222"/>
      <c r="M121" s="238">
        <v>114</v>
      </c>
      <c r="P121" s="232"/>
      <c r="Q121" s="263"/>
      <c r="R121" s="263"/>
      <c r="S121" s="248"/>
      <c r="T121" s="264"/>
      <c r="U121" s="265"/>
      <c r="V121" s="266"/>
      <c r="W121" s="266"/>
      <c r="X121" s="266"/>
      <c r="Y121" s="279"/>
      <c r="Z121" s="280"/>
      <c r="AA121" s="236"/>
      <c r="AB121" s="236"/>
      <c r="AC121" s="236"/>
      <c r="AD121" s="98"/>
    </row>
    <row r="122" ht="17.1" customHeight="1" outlineLevel="2" spans="2:30">
      <c r="B122" s="125" t="s">
        <v>762</v>
      </c>
      <c r="C122" s="126" t="s">
        <v>2310</v>
      </c>
      <c r="D122" s="370"/>
      <c r="E122" s="371"/>
      <c r="F122" s="292"/>
      <c r="G122" s="372"/>
      <c r="H122" s="373"/>
      <c r="I122" s="307"/>
      <c r="J122" s="307"/>
      <c r="K122" s="309"/>
      <c r="L122" s="222"/>
      <c r="M122" s="238">
        <v>115</v>
      </c>
      <c r="P122" s="232"/>
      <c r="Q122" s="263"/>
      <c r="R122" s="263"/>
      <c r="S122" s="248"/>
      <c r="T122" s="264"/>
      <c r="U122" s="265"/>
      <c r="V122" s="266"/>
      <c r="W122" s="266"/>
      <c r="X122" s="266"/>
      <c r="Y122" s="279"/>
      <c r="Z122" s="280"/>
      <c r="AA122" s="236"/>
      <c r="AB122" s="236"/>
      <c r="AC122" s="236"/>
      <c r="AD122" s="98"/>
    </row>
    <row r="123" ht="17.1" customHeight="1" outlineLevel="2" spans="2:30">
      <c r="B123" s="125" t="s">
        <v>778</v>
      </c>
      <c r="C123" s="126" t="s">
        <v>1858</v>
      </c>
      <c r="D123" s="370"/>
      <c r="E123" s="371"/>
      <c r="F123" s="292"/>
      <c r="G123" s="372"/>
      <c r="H123" s="373"/>
      <c r="I123" s="310" t="e">
        <f>SUM(I124)</f>
        <v>#REF!</v>
      </c>
      <c r="J123" s="307" t="e">
        <f>IF(I123=0,"",IF(#REF!=0,"",I123*10000/#REF!))</f>
        <v>#REF!</v>
      </c>
      <c r="K123" s="309"/>
      <c r="L123" s="222"/>
      <c r="M123" s="238">
        <v>116</v>
      </c>
      <c r="P123" s="232"/>
      <c r="Q123" s="263"/>
      <c r="R123" s="263"/>
      <c r="S123" s="248"/>
      <c r="T123" s="264"/>
      <c r="U123" s="265"/>
      <c r="V123" s="266"/>
      <c r="W123" s="266"/>
      <c r="X123" s="266"/>
      <c r="Y123" s="279"/>
      <c r="Z123" s="280"/>
      <c r="AA123" s="236"/>
      <c r="AB123" s="236"/>
      <c r="AC123" s="236"/>
      <c r="AD123" s="98"/>
    </row>
    <row r="124" ht="17.1" customHeight="1" outlineLevel="2" spans="2:30">
      <c r="B124" s="194" t="s">
        <v>622</v>
      </c>
      <c r="C124" s="107" t="s">
        <v>2459</v>
      </c>
      <c r="D124" s="197" t="s">
        <v>2454</v>
      </c>
      <c r="E124" s="364">
        <v>1</v>
      </c>
      <c r="F124" s="108" t="s">
        <v>1832</v>
      </c>
      <c r="G124" s="368" t="e">
        <f>F4</f>
        <v>#REF!</v>
      </c>
      <c r="H124" s="369">
        <v>200000</v>
      </c>
      <c r="I124" s="116" t="e">
        <f t="shared" ref="I124:I128" si="37">E124*G124*H124/10000</f>
        <v>#REF!</v>
      </c>
      <c r="J124" s="116"/>
      <c r="K124" s="236" t="s">
        <v>2460</v>
      </c>
      <c r="L124" s="222"/>
      <c r="M124" s="238">
        <v>117</v>
      </c>
      <c r="P124" s="232"/>
      <c r="Q124" s="263"/>
      <c r="R124" s="263"/>
      <c r="S124" s="263">
        <v>110</v>
      </c>
      <c r="T124" s="264"/>
      <c r="U124" s="265"/>
      <c r="V124" s="266"/>
      <c r="W124" s="266"/>
      <c r="X124" s="266">
        <v>70</v>
      </c>
      <c r="Y124" s="279"/>
      <c r="Z124" s="280"/>
      <c r="AA124" s="236"/>
      <c r="AB124" s="236"/>
      <c r="AC124" s="236"/>
      <c r="AD124" s="98"/>
    </row>
    <row r="125" ht="17.1" customHeight="1" outlineLevel="1" spans="2:30">
      <c r="B125" s="125" t="s">
        <v>781</v>
      </c>
      <c r="C125" s="126" t="s">
        <v>2311</v>
      </c>
      <c r="D125" s="290"/>
      <c r="E125" s="365"/>
      <c r="F125" s="292"/>
      <c r="G125" s="292"/>
      <c r="H125" s="293"/>
      <c r="I125" s="307" t="e">
        <f>SUM(I126:I128)</f>
        <v>#REF!</v>
      </c>
      <c r="J125" s="307" t="e">
        <f>IF(I125=0,"",IF(#REF!=0,"",I125*10000/#REF!))</f>
        <v>#REF!</v>
      </c>
      <c r="K125" s="308"/>
      <c r="L125" s="237"/>
      <c r="M125" s="238">
        <v>118</v>
      </c>
      <c r="P125" s="232"/>
      <c r="Q125" s="263"/>
      <c r="R125" s="263"/>
      <c r="S125" s="263"/>
      <c r="T125" s="264"/>
      <c r="U125" s="265"/>
      <c r="V125" s="266"/>
      <c r="W125" s="266"/>
      <c r="X125" s="266"/>
      <c r="Y125" s="279"/>
      <c r="Z125" s="280"/>
      <c r="AA125" s="236"/>
      <c r="AB125" s="236"/>
      <c r="AC125" s="236"/>
      <c r="AD125" s="98"/>
    </row>
    <row r="126" ht="17.1" customHeight="1" outlineLevel="2" spans="2:30">
      <c r="B126" s="194" t="s">
        <v>622</v>
      </c>
      <c r="C126" s="107" t="s">
        <v>2461</v>
      </c>
      <c r="D126" s="65" t="s">
        <v>2427</v>
      </c>
      <c r="E126" s="114"/>
      <c r="F126" s="108" t="s">
        <v>1861</v>
      </c>
      <c r="G126" s="112" t="e">
        <f>$F$5</f>
        <v>#REF!</v>
      </c>
      <c r="H126" s="369">
        <f t="shared" ref="H126:H128" si="38">HLOOKUP(L126,$U$8:$Y$151,M126,FALSE)</f>
        <v>0</v>
      </c>
      <c r="I126" s="116" t="e">
        <f t="shared" si="37"/>
        <v>#REF!</v>
      </c>
      <c r="J126" s="116"/>
      <c r="K126" s="236" t="s">
        <v>2422</v>
      </c>
      <c r="L126" s="222" t="str">
        <f>$I$2</f>
        <v>C</v>
      </c>
      <c r="M126" s="238">
        <v>119</v>
      </c>
      <c r="P126" s="316"/>
      <c r="Q126" s="319"/>
      <c r="R126" s="319"/>
      <c r="S126" s="319"/>
      <c r="T126" s="320"/>
      <c r="U126" s="265">
        <v>45</v>
      </c>
      <c r="V126" s="266">
        <v>45</v>
      </c>
      <c r="W126" s="266"/>
      <c r="X126" s="266"/>
      <c r="Y126" s="279"/>
      <c r="Z126" s="280"/>
      <c r="AA126" s="236"/>
      <c r="AB126" s="236"/>
      <c r="AC126" s="236"/>
      <c r="AD126" s="98"/>
    </row>
    <row r="127" ht="17.1" customHeight="1" outlineLevel="2" spans="2:30">
      <c r="B127" s="194" t="s">
        <v>622</v>
      </c>
      <c r="C127" s="107" t="s">
        <v>2462</v>
      </c>
      <c r="D127" s="65" t="s">
        <v>2427</v>
      </c>
      <c r="E127" s="114">
        <f>(20)*2.6*2</f>
        <v>104</v>
      </c>
      <c r="F127" s="108" t="s">
        <v>1861</v>
      </c>
      <c r="G127" s="112" t="e">
        <f>$F$5</f>
        <v>#REF!</v>
      </c>
      <c r="H127" s="369">
        <f t="shared" si="38"/>
        <v>15</v>
      </c>
      <c r="I127" s="116" t="e">
        <f t="shared" si="37"/>
        <v>#REF!</v>
      </c>
      <c r="J127" s="116"/>
      <c r="K127" s="236" t="s">
        <v>2422</v>
      </c>
      <c r="L127" s="222" t="str">
        <f>$I$2</f>
        <v>C</v>
      </c>
      <c r="M127" s="238">
        <v>120</v>
      </c>
      <c r="P127" s="316"/>
      <c r="Q127" s="319"/>
      <c r="R127" s="319"/>
      <c r="S127" s="319"/>
      <c r="T127" s="320"/>
      <c r="U127" s="265">
        <v>15</v>
      </c>
      <c r="V127" s="266">
        <v>15</v>
      </c>
      <c r="W127" s="266">
        <v>15</v>
      </c>
      <c r="X127" s="266">
        <v>15</v>
      </c>
      <c r="Y127" s="279">
        <v>15</v>
      </c>
      <c r="Z127" s="280"/>
      <c r="AA127" s="236"/>
      <c r="AB127" s="236"/>
      <c r="AC127" s="236"/>
      <c r="AD127" s="98"/>
    </row>
    <row r="128" ht="17.1" customHeight="1" outlineLevel="2" spans="2:30">
      <c r="B128" s="194" t="s">
        <v>622</v>
      </c>
      <c r="C128" s="107" t="s">
        <v>2463</v>
      </c>
      <c r="D128" s="65" t="s">
        <v>2427</v>
      </c>
      <c r="E128" s="114">
        <f>28*1.3</f>
        <v>36.4</v>
      </c>
      <c r="F128" s="108" t="s">
        <v>1861</v>
      </c>
      <c r="G128" s="112" t="e">
        <f>$F$5</f>
        <v>#REF!</v>
      </c>
      <c r="H128" s="369">
        <f t="shared" si="38"/>
        <v>15</v>
      </c>
      <c r="I128" s="116" t="e">
        <f t="shared" si="37"/>
        <v>#REF!</v>
      </c>
      <c r="J128" s="116"/>
      <c r="K128" s="236" t="s">
        <v>2422</v>
      </c>
      <c r="L128" s="222" t="str">
        <f>$I$2</f>
        <v>C</v>
      </c>
      <c r="M128" s="238">
        <v>121</v>
      </c>
      <c r="P128" s="316"/>
      <c r="Q128" s="319"/>
      <c r="R128" s="319"/>
      <c r="S128" s="319"/>
      <c r="T128" s="320"/>
      <c r="U128" s="265">
        <v>15</v>
      </c>
      <c r="V128" s="266">
        <v>15</v>
      </c>
      <c r="W128" s="266">
        <v>15</v>
      </c>
      <c r="X128" s="266">
        <v>15</v>
      </c>
      <c r="Y128" s="279">
        <v>15</v>
      </c>
      <c r="Z128" s="280"/>
      <c r="AA128" s="236"/>
      <c r="AB128" s="236"/>
      <c r="AC128" s="236"/>
      <c r="AD128" s="98"/>
    </row>
    <row r="129" ht="17.1" customHeight="1" outlineLevel="1" spans="2:30">
      <c r="B129" s="125" t="s">
        <v>788</v>
      </c>
      <c r="C129" s="126" t="s">
        <v>2312</v>
      </c>
      <c r="D129" s="290"/>
      <c r="E129" s="292"/>
      <c r="F129" s="292"/>
      <c r="G129" s="292" t="e">
        <f>SUM(I133:I135)/E133/G133*10000</f>
        <v>#REF!</v>
      </c>
      <c r="H129" s="301" t="e">
        <f>SUM(I130:I132)*10000/E130/G130</f>
        <v>#REF!</v>
      </c>
      <c r="I129" s="307" t="e">
        <f>SUM(I130:I135)</f>
        <v>#REF!</v>
      </c>
      <c r="J129" s="307" t="e">
        <f>IF(I129=0,"",IF(#REF!=0,"",I129*10000/#REF!))</f>
        <v>#REF!</v>
      </c>
      <c r="K129" s="309"/>
      <c r="L129" s="379"/>
      <c r="M129" s="238">
        <v>122</v>
      </c>
      <c r="P129" s="232"/>
      <c r="Q129" s="263"/>
      <c r="R129" s="263"/>
      <c r="S129" s="263"/>
      <c r="T129" s="264"/>
      <c r="U129" s="265"/>
      <c r="V129" s="266"/>
      <c r="W129" s="266"/>
      <c r="X129" s="266"/>
      <c r="Y129" s="279"/>
      <c r="Z129" s="280"/>
      <c r="AA129" s="236"/>
      <c r="AB129" s="236"/>
      <c r="AC129" s="236"/>
      <c r="AD129" s="98"/>
    </row>
    <row r="130" ht="17.1" customHeight="1" outlineLevel="2" spans="2:30">
      <c r="B130" s="194" t="s">
        <v>622</v>
      </c>
      <c r="C130" s="107" t="s">
        <v>2464</v>
      </c>
      <c r="D130" s="65" t="s">
        <v>2427</v>
      </c>
      <c r="E130" s="364">
        <f t="shared" ref="E130:E135" si="39">HLOOKUP(L130,$P$8:$T$151,M130,FALSE)</f>
        <v>20</v>
      </c>
      <c r="F130" s="108" t="s">
        <v>1861</v>
      </c>
      <c r="G130" s="112" t="e">
        <f t="shared" ref="G130:G135" si="40">$F$5</f>
        <v>#REF!</v>
      </c>
      <c r="H130" s="369">
        <f t="shared" ref="H130:H135" si="41">HLOOKUP(L130,$U$8:$Y$151,M130,FALSE)</f>
        <v>140</v>
      </c>
      <c r="I130" s="116" t="e">
        <f t="shared" ref="I130:I135" si="42">E130*G130*H130/10000</f>
        <v>#REF!</v>
      </c>
      <c r="J130" s="116"/>
      <c r="K130" s="236" t="s">
        <v>2455</v>
      </c>
      <c r="L130" s="380" t="str">
        <f t="shared" ref="L130:L135" si="43">$I$2</f>
        <v>C</v>
      </c>
      <c r="M130" s="238">
        <v>123</v>
      </c>
      <c r="P130" s="232"/>
      <c r="Q130" s="263"/>
      <c r="R130" s="263">
        <v>15</v>
      </c>
      <c r="S130" s="263">
        <v>20</v>
      </c>
      <c r="T130" s="264"/>
      <c r="U130" s="265"/>
      <c r="V130" s="266"/>
      <c r="W130" s="266"/>
      <c r="X130" s="266">
        <v>140</v>
      </c>
      <c r="Y130" s="279"/>
      <c r="Z130" s="280"/>
      <c r="AA130" s="236"/>
      <c r="AB130" s="236"/>
      <c r="AC130" s="236"/>
      <c r="AD130" s="98"/>
    </row>
    <row r="131" ht="17.1" customHeight="1" outlineLevel="2" spans="2:30">
      <c r="B131" s="194" t="s">
        <v>622</v>
      </c>
      <c r="C131" s="107" t="s">
        <v>2465</v>
      </c>
      <c r="D131" s="65" t="s">
        <v>2427</v>
      </c>
      <c r="E131" s="364">
        <f t="shared" si="39"/>
        <v>20</v>
      </c>
      <c r="F131" s="108" t="s">
        <v>1861</v>
      </c>
      <c r="G131" s="112" t="e">
        <f t="shared" si="40"/>
        <v>#REF!</v>
      </c>
      <c r="H131" s="369">
        <f t="shared" si="41"/>
        <v>200</v>
      </c>
      <c r="I131" s="116" t="e">
        <f t="shared" si="42"/>
        <v>#REF!</v>
      </c>
      <c r="J131" s="116"/>
      <c r="K131" s="236" t="s">
        <v>2455</v>
      </c>
      <c r="L131" s="380" t="str">
        <f t="shared" si="43"/>
        <v>C</v>
      </c>
      <c r="M131" s="238">
        <v>124</v>
      </c>
      <c r="P131" s="232"/>
      <c r="Q131" s="263"/>
      <c r="R131" s="263">
        <v>15</v>
      </c>
      <c r="S131" s="263">
        <v>20</v>
      </c>
      <c r="T131" s="264"/>
      <c r="U131" s="265"/>
      <c r="V131" s="266"/>
      <c r="W131" s="266"/>
      <c r="X131" s="266">
        <v>200</v>
      </c>
      <c r="Y131" s="279"/>
      <c r="Z131" s="280"/>
      <c r="AA131" s="236"/>
      <c r="AB131" s="236"/>
      <c r="AC131" s="236"/>
      <c r="AD131" s="98"/>
    </row>
    <row r="132" ht="17.1" customHeight="1" outlineLevel="2" spans="2:30">
      <c r="B132" s="194" t="s">
        <v>622</v>
      </c>
      <c r="C132" s="107" t="s">
        <v>2466</v>
      </c>
      <c r="D132" s="65" t="s">
        <v>2427</v>
      </c>
      <c r="E132" s="364">
        <f t="shared" si="39"/>
        <v>70</v>
      </c>
      <c r="F132" s="108" t="s">
        <v>1861</v>
      </c>
      <c r="G132" s="112" t="e">
        <f t="shared" si="40"/>
        <v>#REF!</v>
      </c>
      <c r="H132" s="369">
        <f t="shared" si="41"/>
        <v>100</v>
      </c>
      <c r="I132" s="116" t="e">
        <f t="shared" si="42"/>
        <v>#REF!</v>
      </c>
      <c r="J132" s="116"/>
      <c r="K132" s="236" t="s">
        <v>2455</v>
      </c>
      <c r="L132" s="380" t="str">
        <f t="shared" si="43"/>
        <v>C</v>
      </c>
      <c r="M132" s="238">
        <v>125</v>
      </c>
      <c r="P132" s="232"/>
      <c r="Q132" s="263"/>
      <c r="R132" s="263">
        <v>50</v>
      </c>
      <c r="S132" s="263">
        <v>70</v>
      </c>
      <c r="T132" s="264"/>
      <c r="U132" s="265"/>
      <c r="V132" s="266"/>
      <c r="W132" s="266"/>
      <c r="X132" s="266">
        <v>100</v>
      </c>
      <c r="Y132" s="279"/>
      <c r="Z132" s="280"/>
      <c r="AA132" s="236"/>
      <c r="AB132" s="236"/>
      <c r="AC132" s="236"/>
      <c r="AD132" s="98"/>
    </row>
    <row r="133" ht="17.1" customHeight="1" outlineLevel="2" spans="2:30">
      <c r="B133" s="194" t="s">
        <v>622</v>
      </c>
      <c r="C133" s="107" t="s">
        <v>2467</v>
      </c>
      <c r="D133" s="65" t="s">
        <v>2427</v>
      </c>
      <c r="E133" s="364">
        <f t="shared" si="39"/>
        <v>25</v>
      </c>
      <c r="F133" s="108" t="s">
        <v>1861</v>
      </c>
      <c r="G133" s="112" t="e">
        <f t="shared" si="40"/>
        <v>#REF!</v>
      </c>
      <c r="H133" s="369">
        <f t="shared" si="41"/>
        <v>110</v>
      </c>
      <c r="I133" s="116" t="e">
        <f t="shared" si="42"/>
        <v>#REF!</v>
      </c>
      <c r="J133" s="116"/>
      <c r="K133" s="236" t="s">
        <v>2455</v>
      </c>
      <c r="L133" s="380" t="str">
        <f t="shared" si="43"/>
        <v>C</v>
      </c>
      <c r="M133" s="238">
        <v>126</v>
      </c>
      <c r="P133" s="232"/>
      <c r="Q133" s="263"/>
      <c r="R133" s="263"/>
      <c r="S133" s="263">
        <v>25</v>
      </c>
      <c r="T133" s="264"/>
      <c r="U133" s="265"/>
      <c r="V133" s="266"/>
      <c r="W133" s="266"/>
      <c r="X133" s="266">
        <v>110</v>
      </c>
      <c r="Y133" s="279"/>
      <c r="Z133" s="280"/>
      <c r="AA133" s="236"/>
      <c r="AB133" s="236"/>
      <c r="AC133" s="236"/>
      <c r="AD133" s="98"/>
    </row>
    <row r="134" ht="17.1" customHeight="1" outlineLevel="2" spans="2:30">
      <c r="B134" s="194" t="s">
        <v>622</v>
      </c>
      <c r="C134" s="107" t="s">
        <v>2468</v>
      </c>
      <c r="D134" s="65" t="s">
        <v>2427</v>
      </c>
      <c r="E134" s="364">
        <f t="shared" si="39"/>
        <v>25</v>
      </c>
      <c r="F134" s="108" t="s">
        <v>1861</v>
      </c>
      <c r="G134" s="112" t="e">
        <f t="shared" si="40"/>
        <v>#REF!</v>
      </c>
      <c r="H134" s="369">
        <f t="shared" si="41"/>
        <v>140</v>
      </c>
      <c r="I134" s="116" t="e">
        <f t="shared" si="42"/>
        <v>#REF!</v>
      </c>
      <c r="J134" s="116"/>
      <c r="K134" s="236" t="s">
        <v>2455</v>
      </c>
      <c r="L134" s="380" t="str">
        <f t="shared" si="43"/>
        <v>C</v>
      </c>
      <c r="M134" s="238">
        <v>127</v>
      </c>
      <c r="P134" s="232"/>
      <c r="Q134" s="263"/>
      <c r="R134" s="263"/>
      <c r="S134" s="263">
        <v>25</v>
      </c>
      <c r="T134" s="264"/>
      <c r="U134" s="265"/>
      <c r="V134" s="266"/>
      <c r="W134" s="266"/>
      <c r="X134" s="266">
        <v>140</v>
      </c>
      <c r="Y134" s="279"/>
      <c r="Z134" s="280"/>
      <c r="AA134" s="236"/>
      <c r="AB134" s="236"/>
      <c r="AC134" s="236"/>
      <c r="AD134" s="98"/>
    </row>
    <row r="135" ht="17.1" customHeight="1" outlineLevel="2" spans="2:30">
      <c r="B135" s="194" t="s">
        <v>622</v>
      </c>
      <c r="C135" s="107" t="s">
        <v>2469</v>
      </c>
      <c r="D135" s="65" t="s">
        <v>2427</v>
      </c>
      <c r="E135" s="364">
        <f t="shared" si="39"/>
        <v>80</v>
      </c>
      <c r="F135" s="108" t="s">
        <v>1861</v>
      </c>
      <c r="G135" s="112" t="e">
        <f t="shared" si="40"/>
        <v>#REF!</v>
      </c>
      <c r="H135" s="369">
        <f t="shared" si="41"/>
        <v>20</v>
      </c>
      <c r="I135" s="116" t="e">
        <f t="shared" si="42"/>
        <v>#REF!</v>
      </c>
      <c r="J135" s="116"/>
      <c r="K135" s="236" t="s">
        <v>2455</v>
      </c>
      <c r="L135" s="380" t="str">
        <f t="shared" si="43"/>
        <v>C</v>
      </c>
      <c r="M135" s="238">
        <v>128</v>
      </c>
      <c r="P135" s="232"/>
      <c r="Q135" s="263"/>
      <c r="R135" s="263"/>
      <c r="S135" s="263">
        <v>80</v>
      </c>
      <c r="T135" s="264"/>
      <c r="U135" s="265"/>
      <c r="V135" s="266"/>
      <c r="W135" s="266"/>
      <c r="X135" s="266">
        <v>20</v>
      </c>
      <c r="Y135" s="279"/>
      <c r="Z135" s="280"/>
      <c r="AA135" s="236"/>
      <c r="AB135" s="236"/>
      <c r="AC135" s="236"/>
      <c r="AD135" s="98"/>
    </row>
    <row r="136" ht="17.1" customHeight="1" outlineLevel="1" spans="2:30">
      <c r="B136" s="125" t="s">
        <v>791</v>
      </c>
      <c r="C136" s="126" t="s">
        <v>1874</v>
      </c>
      <c r="D136" s="290"/>
      <c r="E136" s="365"/>
      <c r="F136" s="292"/>
      <c r="G136" s="292"/>
      <c r="H136" s="293"/>
      <c r="I136" s="307"/>
      <c r="J136" s="307" t="str">
        <f>IF(I136=0,"",IF(#REF!=0,"",I136*10000/#REF!))</f>
        <v/>
      </c>
      <c r="K136" s="309"/>
      <c r="L136" s="379"/>
      <c r="M136" s="238">
        <v>129</v>
      </c>
      <c r="P136" s="232"/>
      <c r="Q136" s="263"/>
      <c r="R136" s="263"/>
      <c r="S136" s="263"/>
      <c r="T136" s="264"/>
      <c r="U136" s="265"/>
      <c r="V136" s="266"/>
      <c r="W136" s="266"/>
      <c r="X136" s="266"/>
      <c r="Y136" s="279"/>
      <c r="Z136" s="280"/>
      <c r="AA136" s="236"/>
      <c r="AB136" s="236"/>
      <c r="AC136" s="236"/>
      <c r="AD136" s="98"/>
    </row>
    <row r="137" ht="17.1" customHeight="1" outlineLevel="1" spans="2:30">
      <c r="B137" s="125" t="s">
        <v>794</v>
      </c>
      <c r="C137" s="126" t="s">
        <v>1876</v>
      </c>
      <c r="D137" s="290"/>
      <c r="E137" s="365"/>
      <c r="F137" s="292"/>
      <c r="G137" s="292"/>
      <c r="H137" s="293"/>
      <c r="I137" s="307"/>
      <c r="J137" s="307"/>
      <c r="K137" s="309"/>
      <c r="L137" s="379"/>
      <c r="M137" s="238">
        <v>130</v>
      </c>
      <c r="P137" s="232"/>
      <c r="Q137" s="263"/>
      <c r="R137" s="263"/>
      <c r="S137" s="263"/>
      <c r="T137" s="264"/>
      <c r="U137" s="265"/>
      <c r="V137" s="266"/>
      <c r="W137" s="266"/>
      <c r="X137" s="266"/>
      <c r="Y137" s="279"/>
      <c r="Z137" s="280"/>
      <c r="AA137" s="236"/>
      <c r="AB137" s="236"/>
      <c r="AC137" s="236"/>
      <c r="AD137" s="98"/>
    </row>
    <row r="138" ht="17.1" customHeight="1" outlineLevel="1" spans="2:30">
      <c r="B138" s="125" t="s">
        <v>797</v>
      </c>
      <c r="C138" s="126" t="s">
        <v>1878</v>
      </c>
      <c r="D138" s="290"/>
      <c r="E138" s="365"/>
      <c r="F138" s="292"/>
      <c r="G138" s="292"/>
      <c r="H138" s="293"/>
      <c r="I138" s="307"/>
      <c r="J138" s="307"/>
      <c r="K138" s="309"/>
      <c r="L138" s="379"/>
      <c r="M138" s="238">
        <v>131</v>
      </c>
      <c r="P138" s="232"/>
      <c r="Q138" s="263"/>
      <c r="R138" s="263"/>
      <c r="S138" s="263"/>
      <c r="T138" s="264"/>
      <c r="U138" s="265"/>
      <c r="V138" s="266"/>
      <c r="W138" s="266"/>
      <c r="X138" s="266"/>
      <c r="Y138" s="279"/>
      <c r="Z138" s="280"/>
      <c r="AA138" s="236"/>
      <c r="AB138" s="236"/>
      <c r="AC138" s="236"/>
      <c r="AD138" s="98"/>
    </row>
    <row r="139" ht="17.1" customHeight="1" outlineLevel="2" spans="2:30">
      <c r="B139" s="125" t="s">
        <v>1519</v>
      </c>
      <c r="C139" s="126" t="s">
        <v>2313</v>
      </c>
      <c r="D139" s="370"/>
      <c r="E139" s="374"/>
      <c r="F139" s="292"/>
      <c r="G139" s="372"/>
      <c r="H139" s="373"/>
      <c r="I139" s="307"/>
      <c r="J139" s="307"/>
      <c r="K139" s="309"/>
      <c r="L139" s="380"/>
      <c r="M139" s="238">
        <v>132</v>
      </c>
      <c r="P139" s="232"/>
      <c r="Q139" s="263"/>
      <c r="R139" s="263"/>
      <c r="S139" s="263">
        <v>6.5</v>
      </c>
      <c r="T139" s="264"/>
      <c r="U139" s="265"/>
      <c r="V139" s="266"/>
      <c r="W139" s="266"/>
      <c r="X139" s="266">
        <v>70</v>
      </c>
      <c r="Y139" s="279"/>
      <c r="Z139" s="280"/>
      <c r="AA139" s="236"/>
      <c r="AB139" s="236"/>
      <c r="AC139" s="236"/>
      <c r="AD139" s="98"/>
    </row>
    <row r="140" ht="17.1" customHeight="1" spans="2:30">
      <c r="B140" s="120">
        <v>3</v>
      </c>
      <c r="C140" s="121" t="s">
        <v>1705</v>
      </c>
      <c r="D140" s="193"/>
      <c r="E140" s="193">
        <v>1</v>
      </c>
      <c r="F140" s="155"/>
      <c r="G140" s="155" t="e">
        <f>D5</f>
        <v>#REF!</v>
      </c>
      <c r="H140" s="155">
        <v>700</v>
      </c>
      <c r="I140" s="156" t="e">
        <f>E140*G140*H140/10000</f>
        <v>#REF!</v>
      </c>
      <c r="J140" s="156" t="e">
        <f>IF(I140=0,"",IF(#REF!=0,"",I140*10000/#REF!))</f>
        <v>#REF!</v>
      </c>
      <c r="K140" s="317" t="s">
        <v>2470</v>
      </c>
      <c r="L140" s="381"/>
      <c r="M140" s="238">
        <v>133</v>
      </c>
      <c r="P140" s="232"/>
      <c r="Q140" s="263"/>
      <c r="R140" s="263"/>
      <c r="S140" s="263"/>
      <c r="T140" s="264"/>
      <c r="U140" s="265"/>
      <c r="V140" s="266"/>
      <c r="W140" s="266"/>
      <c r="X140" s="266"/>
      <c r="Y140" s="279"/>
      <c r="Z140" s="280"/>
      <c r="AA140" s="236"/>
      <c r="AB140" s="236"/>
      <c r="AC140" s="236"/>
      <c r="AD140" s="98"/>
    </row>
    <row r="141" ht="17.1" customHeight="1" outlineLevel="1" spans="2:30">
      <c r="B141" s="125" t="s">
        <v>619</v>
      </c>
      <c r="C141" s="126" t="s">
        <v>1705</v>
      </c>
      <c r="D141" s="290" t="s">
        <v>665</v>
      </c>
      <c r="E141" s="290">
        <f>IF('超高层(46)'!G141=0,0,#REF!*#REF!/'超高层(46)'!G141)</f>
        <v>0</v>
      </c>
      <c r="F141" s="375"/>
      <c r="G141" s="292"/>
      <c r="H141" s="292">
        <f t="shared" ref="H141:H143" si="44">IF(G141=0,0,I141/E141/G141)</f>
        <v>0</v>
      </c>
      <c r="I141" s="382"/>
      <c r="J141" s="382"/>
      <c r="K141" s="309"/>
      <c r="L141" s="383"/>
      <c r="M141" s="238">
        <v>134</v>
      </c>
      <c r="P141" s="232"/>
      <c r="Q141" s="263"/>
      <c r="R141" s="263"/>
      <c r="S141" s="263"/>
      <c r="T141" s="264"/>
      <c r="U141" s="265"/>
      <c r="V141" s="266"/>
      <c r="W141" s="266"/>
      <c r="X141" s="266"/>
      <c r="Y141" s="279"/>
      <c r="Z141" s="280"/>
      <c r="AA141" s="236"/>
      <c r="AB141" s="236"/>
      <c r="AC141" s="236"/>
      <c r="AD141" s="98"/>
    </row>
    <row r="142" ht="17.1" customHeight="1" outlineLevel="1" spans="2:30">
      <c r="B142" s="125" t="s">
        <v>657</v>
      </c>
      <c r="C142" s="126" t="s">
        <v>2314</v>
      </c>
      <c r="D142" s="290" t="s">
        <v>665</v>
      </c>
      <c r="E142" s="290">
        <f>IF('超高层(46)'!G142=0,0,(#REF!*#REF!+#REF!*#REF!)/'超高层(46)'!G142)</f>
        <v>0</v>
      </c>
      <c r="F142" s="375"/>
      <c r="G142" s="292"/>
      <c r="H142" s="292">
        <f t="shared" si="44"/>
        <v>0</v>
      </c>
      <c r="I142" s="382"/>
      <c r="J142" s="382" t="s">
        <v>511</v>
      </c>
      <c r="K142" s="309"/>
      <c r="L142" s="383"/>
      <c r="M142" s="238">
        <v>135</v>
      </c>
      <c r="P142" s="232"/>
      <c r="Q142" s="263"/>
      <c r="R142" s="263"/>
      <c r="S142" s="263"/>
      <c r="T142" s="264"/>
      <c r="U142" s="265"/>
      <c r="V142" s="266"/>
      <c r="W142" s="266"/>
      <c r="X142" s="266"/>
      <c r="Y142" s="279"/>
      <c r="Z142" s="280"/>
      <c r="AA142" s="236"/>
      <c r="AB142" s="236"/>
      <c r="AC142" s="236"/>
      <c r="AD142" s="98"/>
    </row>
    <row r="143" ht="17.1" customHeight="1" outlineLevel="1" spans="2:30">
      <c r="B143" s="125" t="s">
        <v>762</v>
      </c>
      <c r="C143" s="126" t="s">
        <v>2315</v>
      </c>
      <c r="D143" s="290" t="s">
        <v>665</v>
      </c>
      <c r="E143" s="290">
        <f>IF('超高层(46)'!G143=0,0,(#REF!*#REF!+#REF!*#REF!+#REF!*#REF!)/'超高层(46)'!G143)</f>
        <v>0</v>
      </c>
      <c r="F143" s="375"/>
      <c r="G143" s="292"/>
      <c r="H143" s="292">
        <f t="shared" si="44"/>
        <v>0</v>
      </c>
      <c r="I143" s="382"/>
      <c r="J143" s="382" t="s">
        <v>511</v>
      </c>
      <c r="K143" s="309"/>
      <c r="L143" s="383"/>
      <c r="M143" s="238">
        <v>136</v>
      </c>
      <c r="P143" s="232"/>
      <c r="Q143" s="263"/>
      <c r="R143" s="263"/>
      <c r="S143" s="263"/>
      <c r="T143" s="264"/>
      <c r="U143" s="265"/>
      <c r="V143" s="266"/>
      <c r="W143" s="266"/>
      <c r="X143" s="266"/>
      <c r="Y143" s="279"/>
      <c r="Z143" s="280"/>
      <c r="AA143" s="236"/>
      <c r="AB143" s="236"/>
      <c r="AC143" s="236"/>
      <c r="AD143" s="98"/>
    </row>
    <row r="144" ht="17.1" customHeight="1" spans="2:30">
      <c r="B144" s="120">
        <v>4</v>
      </c>
      <c r="C144" s="121" t="s">
        <v>554</v>
      </c>
      <c r="D144" s="193"/>
      <c r="E144" s="193"/>
      <c r="F144" s="155"/>
      <c r="G144" s="155"/>
      <c r="H144" s="155"/>
      <c r="I144" s="156" t="e">
        <f>I146+I147+I148+I149+I150+I151</f>
        <v>#REF!</v>
      </c>
      <c r="J144" s="156" t="e">
        <f>IF(I144=0,"",IF(#REF!=0,"",I144*10000/#REF!))</f>
        <v>#REF!</v>
      </c>
      <c r="K144" s="233"/>
      <c r="L144" s="381"/>
      <c r="M144" s="238">
        <v>137</v>
      </c>
      <c r="P144" s="232"/>
      <c r="Q144" s="263"/>
      <c r="R144" s="263"/>
      <c r="S144" s="263"/>
      <c r="T144" s="264"/>
      <c r="U144" s="265"/>
      <c r="V144" s="266"/>
      <c r="W144" s="266"/>
      <c r="X144" s="266"/>
      <c r="Y144" s="279"/>
      <c r="Z144" s="280"/>
      <c r="AA144" s="236"/>
      <c r="AB144" s="236"/>
      <c r="AC144" s="236"/>
      <c r="AD144" s="98"/>
    </row>
    <row r="145" ht="17.1" customHeight="1" spans="2:30">
      <c r="B145" s="125" t="s">
        <v>619</v>
      </c>
      <c r="C145" s="126" t="s">
        <v>2316</v>
      </c>
      <c r="D145" s="366"/>
      <c r="E145" s="366"/>
      <c r="F145" s="313"/>
      <c r="G145" s="313"/>
      <c r="H145" s="313"/>
      <c r="I145" s="311"/>
      <c r="J145" s="311"/>
      <c r="K145" s="309"/>
      <c r="L145" s="381"/>
      <c r="M145" s="238">
        <v>138</v>
      </c>
      <c r="P145" s="232"/>
      <c r="Q145" s="263"/>
      <c r="R145" s="263"/>
      <c r="S145" s="263"/>
      <c r="T145" s="264"/>
      <c r="U145" s="265"/>
      <c r="V145" s="266"/>
      <c r="W145" s="266"/>
      <c r="X145" s="266"/>
      <c r="Y145" s="279"/>
      <c r="Z145" s="280"/>
      <c r="AA145" s="236"/>
      <c r="AB145" s="236"/>
      <c r="AC145" s="236"/>
      <c r="AD145" s="98"/>
    </row>
    <row r="146" ht="17.1" customHeight="1" outlineLevel="1" spans="2:30">
      <c r="B146" s="194" t="s">
        <v>622</v>
      </c>
      <c r="C146" s="314" t="s">
        <v>2471</v>
      </c>
      <c r="D146" s="65" t="s">
        <v>2408</v>
      </c>
      <c r="E146" s="65">
        <v>1</v>
      </c>
      <c r="F146" s="108" t="s">
        <v>1826</v>
      </c>
      <c r="G146" s="108" t="e">
        <f>$I$5</f>
        <v>#REF!</v>
      </c>
      <c r="H146" s="112">
        <f t="shared" ref="H146:H151" si="45">HLOOKUP(L146,$U$8:$Y$151,M146,FALSE)</f>
        <v>200</v>
      </c>
      <c r="I146" s="306" t="e">
        <f t="shared" ref="I146:I151" si="46">E146*G146*H146/10000</f>
        <v>#REF!</v>
      </c>
      <c r="J146" s="306" t="e">
        <f>IF(I146=0,"",IF(#REF!=0,"",I146*10000/#REF!))</f>
        <v>#REF!</v>
      </c>
      <c r="K146" s="236"/>
      <c r="L146" s="380" t="str">
        <f t="shared" ref="L146:L151" si="47">$I$2</f>
        <v>C</v>
      </c>
      <c r="M146" s="238">
        <v>139</v>
      </c>
      <c r="P146" s="232"/>
      <c r="Q146" s="263"/>
      <c r="R146" s="263"/>
      <c r="S146" s="263"/>
      <c r="T146" s="264"/>
      <c r="U146" s="265"/>
      <c r="V146" s="266"/>
      <c r="W146" s="266"/>
      <c r="X146" s="266">
        <v>200</v>
      </c>
      <c r="Y146" s="279">
        <v>100</v>
      </c>
      <c r="Z146" s="280"/>
      <c r="AA146" s="236"/>
      <c r="AB146" s="236"/>
      <c r="AC146" s="236"/>
      <c r="AD146" s="98"/>
    </row>
    <row r="147" ht="17.1" customHeight="1" outlineLevel="1" spans="2:30">
      <c r="B147" s="194" t="s">
        <v>622</v>
      </c>
      <c r="C147" s="314" t="s">
        <v>2472</v>
      </c>
      <c r="D147" s="376"/>
      <c r="E147" s="65">
        <v>1</v>
      </c>
      <c r="F147" s="108"/>
      <c r="G147" s="108" t="e">
        <f>$I$5</f>
        <v>#REF!</v>
      </c>
      <c r="H147" s="112">
        <f t="shared" si="45"/>
        <v>0</v>
      </c>
      <c r="I147" s="306" t="e">
        <f t="shared" si="46"/>
        <v>#REF!</v>
      </c>
      <c r="J147" s="306" t="s">
        <v>511</v>
      </c>
      <c r="K147" s="236"/>
      <c r="L147" s="380" t="str">
        <f t="shared" si="47"/>
        <v>C</v>
      </c>
      <c r="M147" s="238">
        <v>140</v>
      </c>
      <c r="P147" s="232"/>
      <c r="Q147" s="263"/>
      <c r="R147" s="263"/>
      <c r="S147" s="263"/>
      <c r="T147" s="264"/>
      <c r="U147" s="265"/>
      <c r="V147" s="266"/>
      <c r="W147" s="266"/>
      <c r="X147" s="266"/>
      <c r="Y147" s="279"/>
      <c r="Z147" s="280"/>
      <c r="AA147" s="236"/>
      <c r="AB147" s="236"/>
      <c r="AC147" s="236"/>
      <c r="AD147" s="98"/>
    </row>
    <row r="148" ht="17.1" customHeight="1" outlineLevel="1" spans="2:30">
      <c r="B148" s="194" t="s">
        <v>622</v>
      </c>
      <c r="C148" s="314" t="s">
        <v>2473</v>
      </c>
      <c r="D148" s="376"/>
      <c r="E148" s="65">
        <v>1</v>
      </c>
      <c r="F148" s="108"/>
      <c r="G148" s="108" t="e">
        <f>$I$5</f>
        <v>#REF!</v>
      </c>
      <c r="H148" s="112">
        <f t="shared" si="45"/>
        <v>0</v>
      </c>
      <c r="I148" s="306" t="e">
        <f t="shared" si="46"/>
        <v>#REF!</v>
      </c>
      <c r="J148" s="306" t="s">
        <v>511</v>
      </c>
      <c r="K148" s="236"/>
      <c r="L148" s="380" t="str">
        <f t="shared" si="47"/>
        <v>C</v>
      </c>
      <c r="M148" s="238">
        <v>141</v>
      </c>
      <c r="P148" s="232"/>
      <c r="Q148" s="263"/>
      <c r="R148" s="263"/>
      <c r="S148" s="263"/>
      <c r="T148" s="264"/>
      <c r="U148" s="265"/>
      <c r="V148" s="266"/>
      <c r="W148" s="266"/>
      <c r="X148" s="266"/>
      <c r="Y148" s="279"/>
      <c r="Z148" s="280"/>
      <c r="AA148" s="236"/>
      <c r="AB148" s="236"/>
      <c r="AC148" s="236"/>
      <c r="AD148" s="98"/>
    </row>
    <row r="149" ht="17.1" customHeight="1" outlineLevel="1" spans="2:30">
      <c r="B149" s="194" t="s">
        <v>622</v>
      </c>
      <c r="C149" s="314" t="s">
        <v>2474</v>
      </c>
      <c r="D149" s="376"/>
      <c r="E149" s="65">
        <v>1</v>
      </c>
      <c r="F149" s="108"/>
      <c r="G149" s="108" t="e">
        <f>$I$5</f>
        <v>#REF!</v>
      </c>
      <c r="H149" s="112">
        <f t="shared" si="45"/>
        <v>0</v>
      </c>
      <c r="I149" s="306" t="e">
        <f t="shared" si="46"/>
        <v>#REF!</v>
      </c>
      <c r="J149" s="306" t="s">
        <v>511</v>
      </c>
      <c r="K149" s="236"/>
      <c r="L149" s="380" t="str">
        <f t="shared" si="47"/>
        <v>C</v>
      </c>
      <c r="M149" s="238">
        <v>142</v>
      </c>
      <c r="P149" s="232"/>
      <c r="Q149" s="263"/>
      <c r="R149" s="263"/>
      <c r="S149" s="263"/>
      <c r="T149" s="264"/>
      <c r="U149" s="265"/>
      <c r="V149" s="266"/>
      <c r="W149" s="266"/>
      <c r="X149" s="266"/>
      <c r="Y149" s="279"/>
      <c r="Z149" s="280"/>
      <c r="AA149" s="236"/>
      <c r="AB149" s="236"/>
      <c r="AC149" s="236"/>
      <c r="AD149" s="98"/>
    </row>
    <row r="150" ht="17.1" customHeight="1" outlineLevel="1" spans="2:30">
      <c r="B150" s="194" t="s">
        <v>622</v>
      </c>
      <c r="C150" s="314" t="s">
        <v>2475</v>
      </c>
      <c r="D150" s="65" t="s">
        <v>2408</v>
      </c>
      <c r="E150" s="65">
        <v>1</v>
      </c>
      <c r="F150" s="108" t="s">
        <v>1826</v>
      </c>
      <c r="G150" s="108" t="e">
        <f>$I$5</f>
        <v>#REF!</v>
      </c>
      <c r="H150" s="112">
        <f t="shared" si="45"/>
        <v>900</v>
      </c>
      <c r="I150" s="306" t="e">
        <f t="shared" si="46"/>
        <v>#REF!</v>
      </c>
      <c r="J150" s="306" t="e">
        <f>IF(I150=0,"",IF(#REF!=0,"",I150*10000/#REF!))</f>
        <v>#REF!</v>
      </c>
      <c r="K150" s="236"/>
      <c r="L150" s="380" t="str">
        <f t="shared" si="47"/>
        <v>C</v>
      </c>
      <c r="M150" s="238">
        <v>143</v>
      </c>
      <c r="P150" s="232"/>
      <c r="Q150" s="263"/>
      <c r="R150" s="263"/>
      <c r="S150" s="263"/>
      <c r="T150" s="264"/>
      <c r="U150" s="265"/>
      <c r="V150" s="266"/>
      <c r="W150" s="266"/>
      <c r="X150" s="266">
        <v>900</v>
      </c>
      <c r="Y150" s="279"/>
      <c r="Z150" s="280"/>
      <c r="AA150" s="236"/>
      <c r="AB150" s="236"/>
      <c r="AC150" s="236"/>
      <c r="AD150" s="98"/>
    </row>
    <row r="151" ht="15" customHeight="1" outlineLevel="1" spans="2:30">
      <c r="B151" s="194" t="s">
        <v>622</v>
      </c>
      <c r="C151" s="314" t="s">
        <v>2476</v>
      </c>
      <c r="D151" s="376"/>
      <c r="E151" s="65"/>
      <c r="F151" s="108"/>
      <c r="G151" s="108"/>
      <c r="H151" s="112">
        <f t="shared" si="45"/>
        <v>0</v>
      </c>
      <c r="I151" s="306">
        <f t="shared" si="46"/>
        <v>0</v>
      </c>
      <c r="J151" s="40" t="s">
        <v>511</v>
      </c>
      <c r="K151" s="236"/>
      <c r="L151" s="380" t="str">
        <f t="shared" si="47"/>
        <v>C</v>
      </c>
      <c r="M151" s="238">
        <v>144</v>
      </c>
      <c r="P151" s="384"/>
      <c r="Q151" s="385"/>
      <c r="R151" s="385"/>
      <c r="S151" s="385"/>
      <c r="T151" s="386"/>
      <c r="U151" s="387"/>
      <c r="V151" s="388"/>
      <c r="W151" s="388"/>
      <c r="X151" s="388"/>
      <c r="Y151" s="389"/>
      <c r="Z151" s="390"/>
      <c r="AA151" s="258"/>
      <c r="AB151" s="258"/>
      <c r="AC151" s="258"/>
      <c r="AD151" s="274"/>
    </row>
    <row r="152" ht="15" customHeight="1" spans="2:13">
      <c r="B152" s="194" t="s">
        <v>622</v>
      </c>
      <c r="C152" s="314" t="s">
        <v>546</v>
      </c>
      <c r="D152" s="95"/>
      <c r="E152" s="95"/>
      <c r="F152" s="95"/>
      <c r="G152" s="95"/>
      <c r="H152" s="95"/>
      <c r="I152" s="40"/>
      <c r="J152" s="40"/>
      <c r="K152" s="236"/>
      <c r="L152" s="379"/>
      <c r="M152" s="238">
        <v>145</v>
      </c>
    </row>
    <row r="153" ht="15" customHeight="1" spans="2:13">
      <c r="B153" s="125" t="s">
        <v>657</v>
      </c>
      <c r="C153" s="126" t="s">
        <v>2317</v>
      </c>
      <c r="D153" s="375"/>
      <c r="E153" s="375"/>
      <c r="F153" s="375"/>
      <c r="G153" s="375"/>
      <c r="H153" s="375"/>
      <c r="I153" s="144"/>
      <c r="J153" s="144"/>
      <c r="K153" s="309"/>
      <c r="L153" s="379"/>
      <c r="M153" s="238">
        <v>146</v>
      </c>
    </row>
    <row r="154" ht="15" customHeight="1" spans="2:13">
      <c r="B154" s="125" t="s">
        <v>762</v>
      </c>
      <c r="C154" s="126" t="s">
        <v>2318</v>
      </c>
      <c r="D154" s="375"/>
      <c r="E154" s="375"/>
      <c r="F154" s="375"/>
      <c r="G154" s="375"/>
      <c r="H154" s="375"/>
      <c r="I154" s="144"/>
      <c r="J154" s="144"/>
      <c r="K154" s="309"/>
      <c r="L154" s="379"/>
      <c r="M154" s="238">
        <v>147</v>
      </c>
    </row>
    <row r="155" ht="15" customHeight="1" spans="2:13">
      <c r="B155" s="120">
        <v>5</v>
      </c>
      <c r="C155" s="121" t="s">
        <v>556</v>
      </c>
      <c r="D155" s="377"/>
      <c r="E155" s="377"/>
      <c r="F155" s="377"/>
      <c r="G155" s="377"/>
      <c r="H155" s="377"/>
      <c r="I155" s="147"/>
      <c r="J155" s="147"/>
      <c r="K155" s="233"/>
      <c r="L155" s="379"/>
      <c r="M155" s="238">
        <v>148</v>
      </c>
    </row>
    <row r="156" ht="15" customHeight="1" spans="2:13">
      <c r="B156" s="125" t="s">
        <v>619</v>
      </c>
      <c r="C156" s="315" t="s">
        <v>2319</v>
      </c>
      <c r="D156" s="375"/>
      <c r="E156" s="375"/>
      <c r="F156" s="375"/>
      <c r="G156" s="375"/>
      <c r="H156" s="375"/>
      <c r="I156" s="144"/>
      <c r="J156" s="144"/>
      <c r="K156" s="309"/>
      <c r="L156" s="379"/>
      <c r="M156" s="238">
        <v>149</v>
      </c>
    </row>
    <row r="157" ht="15" customHeight="1" spans="2:13">
      <c r="B157" s="125" t="s">
        <v>657</v>
      </c>
      <c r="C157" s="315" t="s">
        <v>1904</v>
      </c>
      <c r="D157" s="375"/>
      <c r="E157" s="375"/>
      <c r="F157" s="375"/>
      <c r="G157" s="375"/>
      <c r="H157" s="375"/>
      <c r="I157" s="144"/>
      <c r="J157" s="144"/>
      <c r="K157" s="309"/>
      <c r="L157" s="379"/>
      <c r="M157" s="238">
        <v>150</v>
      </c>
    </row>
    <row r="158" ht="15" customHeight="1" spans="2:13">
      <c r="B158" s="125" t="s">
        <v>762</v>
      </c>
      <c r="C158" s="315" t="s">
        <v>1906</v>
      </c>
      <c r="D158" s="375"/>
      <c r="E158" s="375"/>
      <c r="F158" s="375"/>
      <c r="G158" s="375"/>
      <c r="H158" s="375"/>
      <c r="I158" s="144"/>
      <c r="J158" s="144"/>
      <c r="K158" s="309"/>
      <c r="L158" s="379"/>
      <c r="M158" s="238">
        <v>151</v>
      </c>
    </row>
    <row r="159" ht="15" customHeight="1" spans="2:13">
      <c r="B159" s="125" t="s">
        <v>778</v>
      </c>
      <c r="C159" s="315" t="s">
        <v>1908</v>
      </c>
      <c r="D159" s="375"/>
      <c r="E159" s="375"/>
      <c r="F159" s="375"/>
      <c r="G159" s="375"/>
      <c r="H159" s="375"/>
      <c r="I159" s="144"/>
      <c r="J159" s="144"/>
      <c r="K159" s="309"/>
      <c r="L159" s="379"/>
      <c r="M159" s="238">
        <v>152</v>
      </c>
    </row>
    <row r="160" ht="15" customHeight="1" spans="2:13">
      <c r="B160" s="125" t="s">
        <v>781</v>
      </c>
      <c r="C160" s="315" t="s">
        <v>1910</v>
      </c>
      <c r="D160" s="375"/>
      <c r="E160" s="375"/>
      <c r="F160" s="375"/>
      <c r="G160" s="375"/>
      <c r="H160" s="375"/>
      <c r="I160" s="144"/>
      <c r="J160" s="144"/>
      <c r="K160" s="309"/>
      <c r="L160" s="379"/>
      <c r="M160" s="238">
        <v>153</v>
      </c>
    </row>
    <row r="161" ht="15" customHeight="1" spans="2:13">
      <c r="B161" s="125" t="s">
        <v>788</v>
      </c>
      <c r="C161" s="315" t="s">
        <v>1914</v>
      </c>
      <c r="D161" s="375"/>
      <c r="E161" s="375"/>
      <c r="F161" s="375"/>
      <c r="G161" s="375"/>
      <c r="H161" s="375"/>
      <c r="I161" s="144"/>
      <c r="J161" s="144"/>
      <c r="K161" s="309"/>
      <c r="L161" s="379"/>
      <c r="M161" s="238">
        <v>154</v>
      </c>
    </row>
    <row r="162" ht="15" customHeight="1" spans="2:13">
      <c r="B162" s="125" t="s">
        <v>791</v>
      </c>
      <c r="C162" s="315" t="s">
        <v>1781</v>
      </c>
      <c r="D162" s="375"/>
      <c r="E162" s="375"/>
      <c r="F162" s="375"/>
      <c r="G162" s="375"/>
      <c r="H162" s="375"/>
      <c r="I162" s="144"/>
      <c r="J162" s="144"/>
      <c r="K162" s="309"/>
      <c r="L162" s="379"/>
      <c r="M162" s="238">
        <v>155</v>
      </c>
    </row>
    <row r="163" ht="15" customHeight="1" spans="2:13">
      <c r="B163" s="125" t="s">
        <v>794</v>
      </c>
      <c r="C163" s="315" t="s">
        <v>1916</v>
      </c>
      <c r="D163" s="375"/>
      <c r="E163" s="375"/>
      <c r="F163" s="375"/>
      <c r="G163" s="375"/>
      <c r="H163" s="375"/>
      <c r="I163" s="144"/>
      <c r="J163" s="144"/>
      <c r="K163" s="309"/>
      <c r="L163" s="379"/>
      <c r="M163" s="238">
        <v>156</v>
      </c>
    </row>
    <row r="164" ht="15" customHeight="1" spans="2:13">
      <c r="B164" s="125" t="s">
        <v>797</v>
      </c>
      <c r="C164" s="315" t="s">
        <v>1700</v>
      </c>
      <c r="D164" s="375"/>
      <c r="E164" s="375"/>
      <c r="F164" s="375"/>
      <c r="G164" s="375"/>
      <c r="H164" s="375"/>
      <c r="I164" s="144"/>
      <c r="J164" s="144"/>
      <c r="K164" s="309"/>
      <c r="L164" s="379"/>
      <c r="M164" s="238">
        <v>157</v>
      </c>
    </row>
    <row r="165" ht="15" customHeight="1" spans="2:13">
      <c r="B165" s="125" t="s">
        <v>1519</v>
      </c>
      <c r="C165" s="315" t="s">
        <v>1919</v>
      </c>
      <c r="D165" s="375"/>
      <c r="E165" s="375"/>
      <c r="F165" s="375"/>
      <c r="G165" s="375"/>
      <c r="H165" s="375"/>
      <c r="I165" s="144"/>
      <c r="J165" s="144"/>
      <c r="K165" s="309"/>
      <c r="L165" s="379"/>
      <c r="M165" s="238">
        <v>158</v>
      </c>
    </row>
    <row r="166" ht="15" customHeight="1" spans="2:13">
      <c r="B166" s="125" t="s">
        <v>1520</v>
      </c>
      <c r="C166" s="315" t="s">
        <v>1921</v>
      </c>
      <c r="D166" s="375"/>
      <c r="E166" s="375"/>
      <c r="F166" s="375"/>
      <c r="G166" s="375"/>
      <c r="H166" s="375"/>
      <c r="I166" s="144"/>
      <c r="J166" s="144"/>
      <c r="K166" s="309"/>
      <c r="L166" s="379"/>
      <c r="M166" s="238">
        <v>159</v>
      </c>
    </row>
    <row r="167" ht="15" customHeight="1" spans="2:13">
      <c r="B167" s="125" t="s">
        <v>1727</v>
      </c>
      <c r="C167" s="315" t="s">
        <v>546</v>
      </c>
      <c r="D167" s="375"/>
      <c r="E167" s="375"/>
      <c r="F167" s="375"/>
      <c r="G167" s="375"/>
      <c r="H167" s="375"/>
      <c r="I167" s="144"/>
      <c r="J167" s="144"/>
      <c r="K167" s="309"/>
      <c r="L167" s="379"/>
      <c r="M167" s="238">
        <v>160</v>
      </c>
    </row>
    <row r="168" ht="15" customHeight="1" spans="2:13">
      <c r="B168" s="102" t="s">
        <v>557</v>
      </c>
      <c r="C168" s="103" t="s">
        <v>485</v>
      </c>
      <c r="D168" s="378"/>
      <c r="E168" s="378"/>
      <c r="F168" s="378"/>
      <c r="G168" s="378"/>
      <c r="H168" s="378"/>
      <c r="I168" s="150" t="e">
        <f>SUM(I169:I170)</f>
        <v>#REF!</v>
      </c>
      <c r="J168" s="150" t="e">
        <f>IF(I168=0,"",IF(#REF!=0,"",I168*10000/#REF!))</f>
        <v>#REF!</v>
      </c>
      <c r="K168" s="251"/>
      <c r="L168" s="379"/>
      <c r="M168" s="238">
        <v>161</v>
      </c>
    </row>
    <row r="169" ht="15" customHeight="1" spans="2:13">
      <c r="B169" s="120">
        <v>1</v>
      </c>
      <c r="C169" s="121" t="s">
        <v>2320</v>
      </c>
      <c r="D169" s="377"/>
      <c r="E169" s="154" t="e">
        <f>#REF!</f>
        <v>#REF!</v>
      </c>
      <c r="F169" s="155"/>
      <c r="G169" s="155" t="e">
        <f>#REF!</f>
        <v>#REF!</v>
      </c>
      <c r="H169" s="155" t="e">
        <f>#REF!</f>
        <v>#REF!</v>
      </c>
      <c r="I169" s="156" t="e">
        <f>E169*G169*H169/10000</f>
        <v>#REF!</v>
      </c>
      <c r="J169" s="156" t="e">
        <f>IF(I169=0,"",IF(#REF!=0,"",I169*10000/#REF!))</f>
        <v>#REF!</v>
      </c>
      <c r="K169" s="233"/>
      <c r="L169" s="379"/>
      <c r="M169" s="238">
        <v>162</v>
      </c>
    </row>
    <row r="170" ht="15" customHeight="1" spans="2:13">
      <c r="B170" s="120">
        <v>2</v>
      </c>
      <c r="C170" s="121" t="s">
        <v>2321</v>
      </c>
      <c r="D170" s="377"/>
      <c r="E170" s="377"/>
      <c r="F170" s="377"/>
      <c r="G170" s="377"/>
      <c r="H170" s="377"/>
      <c r="I170" s="147"/>
      <c r="J170" s="147"/>
      <c r="K170" s="233"/>
      <c r="L170" s="379"/>
      <c r="M170" s="238">
        <v>163</v>
      </c>
    </row>
  </sheetData>
  <mergeCells count="13">
    <mergeCell ref="D1:E1"/>
    <mergeCell ref="P1:T1"/>
    <mergeCell ref="U1:Y1"/>
    <mergeCell ref="Z1:AD1"/>
    <mergeCell ref="G2:H2"/>
    <mergeCell ref="G3:H3"/>
    <mergeCell ref="G4:H4"/>
    <mergeCell ref="G5:H5"/>
    <mergeCell ref="G6:H6"/>
    <mergeCell ref="P7:T7"/>
    <mergeCell ref="U7:Y7"/>
    <mergeCell ref="Z7:AD7"/>
    <mergeCell ref="B3:B6"/>
  </mergeCells>
  <dataValidations count="1">
    <dataValidation type="list" allowBlank="1" showInputMessage="1" showErrorMessage="1" sqref="I2 L59 L108 L139 L23:L26 L28:L33 L35:L40 L42:L43 L45:L46 L48:L49 L70:L71 L76:L77 L79:L80 L84:L91 L93:L100 L102:L103 L105:L106 L110:L114 L117:L124 L126:L128 L130:L135 L146:L151">
      <formula1>$P$8:$T$8</formula1>
    </dataValidation>
  </dataValidations>
  <printOptions horizontalCentered="1"/>
  <pageMargins left="0" right="0" top="0.590277777777778" bottom="0.786805555555556" header="0.118055555555556" footer="0.118055555555556"/>
  <pageSetup paperSize="9" scale="70" orientation="portrait" horizontalDpi="300" verticalDpi="300"/>
  <headerFooter alignWithMargins="0"/>
  <colBreaks count="1" manualBreakCount="1">
    <brk id="14" max="143" man="1"/>
  </colBreaks>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67"/>
  <sheetViews>
    <sheetView zoomScale="130" zoomScaleNormal="130" workbookViewId="0">
      <selection activeCell="G19" sqref="G19"/>
    </sheetView>
  </sheetViews>
  <sheetFormatPr defaultColWidth="9" defaultRowHeight="12"/>
  <cols>
    <col min="1" max="1" width="4.6" style="4" customWidth="1"/>
    <col min="2" max="2" width="16.6" style="4" customWidth="1"/>
    <col min="3" max="3" width="13.6" style="5" customWidth="1"/>
    <col min="4" max="4" width="6.1" style="1" customWidth="1"/>
    <col min="5" max="5" width="7.1" style="1" customWidth="1"/>
    <col min="6" max="6" width="8.1" style="1" customWidth="1"/>
    <col min="7" max="7" width="10.5" style="1" customWidth="1"/>
    <col min="8" max="8" width="8.1" style="1" customWidth="1"/>
    <col min="9" max="10" width="8.1" style="1" hidden="1" customWidth="1"/>
    <col min="11" max="11" width="10" style="1" hidden="1" customWidth="1"/>
    <col min="12" max="12" width="8.1" style="1" hidden="1" customWidth="1"/>
    <col min="13" max="13" width="23.5" style="4" customWidth="1"/>
    <col min="14" max="14" width="6.1" style="4" customWidth="1"/>
    <col min="15" max="16384" width="9" style="4"/>
  </cols>
  <sheetData>
    <row r="1" ht="16.5" customHeight="1" spans="2:5">
      <c r="B1" s="6" t="e">
        <f>#REF!</f>
        <v>#REF!</v>
      </c>
      <c r="C1" s="7" t="s">
        <v>1524</v>
      </c>
      <c r="D1" s="7"/>
      <c r="E1" s="7"/>
    </row>
    <row r="2" s="1" customFormat="1" ht="30" customHeight="1" spans="1:13">
      <c r="A2" s="8" t="s">
        <v>21</v>
      </c>
      <c r="B2" s="9" t="s">
        <v>494</v>
      </c>
      <c r="C2" s="9" t="s">
        <v>606</v>
      </c>
      <c r="D2" s="9" t="s">
        <v>1295</v>
      </c>
      <c r="E2" s="1830" t="s">
        <v>2322</v>
      </c>
      <c r="F2" s="1830" t="s">
        <v>2240</v>
      </c>
      <c r="G2" s="9" t="s">
        <v>2241</v>
      </c>
      <c r="H2" s="9" t="s">
        <v>503</v>
      </c>
      <c r="I2" s="51" t="s">
        <v>2242</v>
      </c>
      <c r="J2" s="52" t="s">
        <v>2243</v>
      </c>
      <c r="K2" s="52" t="s">
        <v>2244</v>
      </c>
      <c r="L2" s="53" t="s">
        <v>2245</v>
      </c>
      <c r="M2" s="54" t="s">
        <v>1300</v>
      </c>
    </row>
    <row r="3" s="2" customFormat="1" ht="18.75" customHeight="1" spans="1:13">
      <c r="A3" s="10" t="s">
        <v>533</v>
      </c>
      <c r="B3" s="11" t="s">
        <v>2323</v>
      </c>
      <c r="C3" s="12"/>
      <c r="D3" s="12"/>
      <c r="E3" s="12"/>
      <c r="F3" s="12"/>
      <c r="G3" s="13" t="e">
        <f>G4+G9+G31+G37+G45</f>
        <v>#REF!</v>
      </c>
      <c r="H3" s="13" t="e">
        <f>IF(G3=0,"",IF(#REF!=0,"",G3*10000/#REF!))</f>
        <v>#REF!</v>
      </c>
      <c r="I3" s="55"/>
      <c r="J3" s="55"/>
      <c r="K3" s="55"/>
      <c r="L3" s="55"/>
      <c r="M3" s="56"/>
    </row>
    <row r="4" s="2" customFormat="1" ht="15" customHeight="1" spans="1:13">
      <c r="A4" s="1825" t="s">
        <v>2247</v>
      </c>
      <c r="B4" s="15" t="s">
        <v>2248</v>
      </c>
      <c r="C4" s="16"/>
      <c r="D4" s="16"/>
      <c r="E4" s="17"/>
      <c r="F4" s="16"/>
      <c r="G4" s="18" t="e">
        <f>SUM(G5:G8)</f>
        <v>#REF!</v>
      </c>
      <c r="H4" s="18" t="e">
        <f>IF(G4=0,"",IF(#REF!=0,"",G4*10000/#REF!))</f>
        <v>#REF!</v>
      </c>
      <c r="I4" s="57"/>
      <c r="J4" s="57"/>
      <c r="K4" s="57"/>
      <c r="L4" s="57"/>
      <c r="M4" s="58"/>
    </row>
    <row r="5" s="2" customFormat="1" ht="15" customHeight="1" outlineLevel="1" spans="1:13">
      <c r="A5" s="19" t="s">
        <v>622</v>
      </c>
      <c r="B5" s="20" t="s">
        <v>2249</v>
      </c>
      <c r="C5" s="21" t="s">
        <v>167</v>
      </c>
      <c r="D5" s="22">
        <v>6</v>
      </c>
      <c r="E5" s="23" t="e">
        <f>#REF!</f>
        <v>#REF!</v>
      </c>
      <c r="F5" s="24">
        <v>45</v>
      </c>
      <c r="G5" s="25" t="e">
        <f t="shared" ref="G5:G8" si="0">E5*F5*D5/10000</f>
        <v>#REF!</v>
      </c>
      <c r="H5" s="25" t="e">
        <f>IF(G5=0,"",IF(#REF!=0,"",G5*10000/#REF!))</f>
        <v>#REF!</v>
      </c>
      <c r="I5" s="59"/>
      <c r="J5" s="59"/>
      <c r="K5" s="59"/>
      <c r="L5" s="59"/>
      <c r="M5" s="58"/>
    </row>
    <row r="6" s="2" customFormat="1" ht="15" customHeight="1" outlineLevel="1" spans="1:13">
      <c r="A6" s="19" t="s">
        <v>622</v>
      </c>
      <c r="B6" s="20" t="s">
        <v>2324</v>
      </c>
      <c r="C6" s="22" t="s">
        <v>505</v>
      </c>
      <c r="D6" s="22">
        <v>1</v>
      </c>
      <c r="E6" s="23" t="e">
        <f>#REF!</f>
        <v>#REF!</v>
      </c>
      <c r="F6" s="22">
        <v>120</v>
      </c>
      <c r="G6" s="25" t="e">
        <f t="shared" si="0"/>
        <v>#REF!</v>
      </c>
      <c r="H6" s="25" t="e">
        <f>IF(G6=0,"",IF(#REF!=0,"",G6*10000/#REF!))</f>
        <v>#REF!</v>
      </c>
      <c r="I6" s="59"/>
      <c r="J6" s="59"/>
      <c r="K6" s="59"/>
      <c r="L6" s="59"/>
      <c r="M6" s="58"/>
    </row>
    <row r="7" s="2" customFormat="1" ht="15" customHeight="1" outlineLevel="1" spans="1:13">
      <c r="A7" s="19" t="s">
        <v>622</v>
      </c>
      <c r="B7" s="20" t="s">
        <v>2325</v>
      </c>
      <c r="C7" s="22" t="s">
        <v>505</v>
      </c>
      <c r="D7" s="22">
        <v>1</v>
      </c>
      <c r="E7" s="23" t="e">
        <f>#REF!</f>
        <v>#REF!</v>
      </c>
      <c r="F7" s="22">
        <v>230</v>
      </c>
      <c r="G7" s="25" t="e">
        <f t="shared" si="0"/>
        <v>#REF!</v>
      </c>
      <c r="H7" s="25" t="e">
        <f>IF(G7=0,"",IF(#REF!=0,"",G7*10000/#REF!))</f>
        <v>#REF!</v>
      </c>
      <c r="I7" s="59"/>
      <c r="J7" s="59"/>
      <c r="K7" s="59"/>
      <c r="L7" s="59"/>
      <c r="M7" s="58"/>
    </row>
    <row r="8" s="2" customFormat="1" ht="15" customHeight="1" outlineLevel="1" spans="1:13">
      <c r="A8" s="19" t="s">
        <v>622</v>
      </c>
      <c r="B8" s="20" t="s">
        <v>2327</v>
      </c>
      <c r="C8" s="22" t="s">
        <v>505</v>
      </c>
      <c r="D8" s="22">
        <v>1</v>
      </c>
      <c r="E8" s="23" t="e">
        <f>#REF!</f>
        <v>#REF!</v>
      </c>
      <c r="F8" s="22">
        <v>5</v>
      </c>
      <c r="G8" s="25" t="e">
        <f t="shared" si="0"/>
        <v>#REF!</v>
      </c>
      <c r="H8" s="25" t="e">
        <f>IF(G8=0,"",IF(#REF!=0,"",G8*10000/#REF!))</f>
        <v>#REF!</v>
      </c>
      <c r="I8" s="59"/>
      <c r="J8" s="59"/>
      <c r="K8" s="59"/>
      <c r="L8" s="59"/>
      <c r="M8" s="58"/>
    </row>
    <row r="9" s="2" customFormat="1" ht="15" customHeight="1" spans="1:13">
      <c r="A9" s="1825" t="s">
        <v>2257</v>
      </c>
      <c r="B9" s="15" t="s">
        <v>2258</v>
      </c>
      <c r="C9" s="16"/>
      <c r="D9" s="16"/>
      <c r="E9" s="17"/>
      <c r="F9" s="16"/>
      <c r="G9" s="18" t="e">
        <f>G10+G14+G15+G21+G27</f>
        <v>#REF!</v>
      </c>
      <c r="H9" s="18" t="e">
        <f>IF(G9=0,"",IF(#REF!=0,"",G9*10000/#REF!))</f>
        <v>#REF!</v>
      </c>
      <c r="I9" s="57"/>
      <c r="J9" s="57"/>
      <c r="K9" s="57"/>
      <c r="L9" s="57"/>
      <c r="M9" s="60"/>
    </row>
    <row r="10" s="2" customFormat="1" ht="15" customHeight="1" outlineLevel="1" spans="1:13">
      <c r="A10" s="26" t="s">
        <v>622</v>
      </c>
      <c r="B10" s="1826" t="s">
        <v>2259</v>
      </c>
      <c r="C10" s="22" t="s">
        <v>505</v>
      </c>
      <c r="D10" s="22"/>
      <c r="E10" s="23"/>
      <c r="F10" s="22"/>
      <c r="G10" s="28" t="e">
        <f>SUM(G11:G13)</f>
        <v>#REF!</v>
      </c>
      <c r="H10" s="28" t="e">
        <f>IF(G10=0,"",IF(#REF!=0,"",G10*10000/#REF!))</f>
        <v>#REF!</v>
      </c>
      <c r="I10" s="43"/>
      <c r="J10" s="43"/>
      <c r="K10" s="43"/>
      <c r="L10" s="43"/>
      <c r="M10" s="58"/>
    </row>
    <row r="11" s="2" customFormat="1" ht="15" customHeight="1" outlineLevel="1" spans="1:13">
      <c r="A11" s="26"/>
      <c r="B11" s="1827" t="s">
        <v>1536</v>
      </c>
      <c r="C11" s="22" t="s">
        <v>505</v>
      </c>
      <c r="D11" s="78">
        <v>1</v>
      </c>
      <c r="E11" s="23" t="e">
        <f>#REF!</f>
        <v>#REF!</v>
      </c>
      <c r="F11" s="40" t="e">
        <f>'保护建筑(销售商业)'!F11</f>
        <v>#REF!</v>
      </c>
      <c r="G11" s="28" t="e">
        <f t="shared" ref="G11:G14" si="1">D11*E11*F11/10000</f>
        <v>#REF!</v>
      </c>
      <c r="H11" s="28"/>
      <c r="I11" s="43"/>
      <c r="J11" s="43"/>
      <c r="K11" s="43"/>
      <c r="L11" s="43"/>
      <c r="M11" s="58"/>
    </row>
    <row r="12" s="2" customFormat="1" ht="15" customHeight="1" outlineLevel="1" spans="1:13">
      <c r="A12" s="26"/>
      <c r="B12" s="1827" t="s">
        <v>1543</v>
      </c>
      <c r="C12" s="22" t="s">
        <v>505</v>
      </c>
      <c r="D12" s="78">
        <v>120</v>
      </c>
      <c r="E12" s="23" t="e">
        <f>#REF!</f>
        <v>#REF!</v>
      </c>
      <c r="F12" s="40" t="e">
        <f>'保护建筑(销售商业)'!F12</f>
        <v>#REF!</v>
      </c>
      <c r="G12" s="28" t="e">
        <f t="shared" si="1"/>
        <v>#REF!</v>
      </c>
      <c r="H12" s="28"/>
      <c r="I12" s="43"/>
      <c r="J12" s="43"/>
      <c r="K12" s="43"/>
      <c r="L12" s="43"/>
      <c r="M12" s="58"/>
    </row>
    <row r="13" s="2" customFormat="1" ht="15" customHeight="1" outlineLevel="1" spans="1:13">
      <c r="A13" s="26"/>
      <c r="B13" s="1827" t="s">
        <v>1550</v>
      </c>
      <c r="C13" s="22" t="s">
        <v>505</v>
      </c>
      <c r="D13" s="22">
        <v>4</v>
      </c>
      <c r="E13" s="23" t="e">
        <f>#REF!</f>
        <v>#REF!</v>
      </c>
      <c r="F13" s="40" t="e">
        <f>'保护建筑(销售商业)'!F13</f>
        <v>#REF!</v>
      </c>
      <c r="G13" s="28" t="e">
        <f t="shared" si="1"/>
        <v>#REF!</v>
      </c>
      <c r="H13" s="28"/>
      <c r="I13" s="43"/>
      <c r="J13" s="43"/>
      <c r="K13" s="43"/>
      <c r="L13" s="43"/>
      <c r="M13" s="58"/>
    </row>
    <row r="14" s="2" customFormat="1" ht="15" customHeight="1" outlineLevel="1" spans="1:13">
      <c r="A14" s="26" t="s">
        <v>622</v>
      </c>
      <c r="B14" s="1828" t="s">
        <v>1552</v>
      </c>
      <c r="C14" s="22" t="s">
        <v>505</v>
      </c>
      <c r="D14" s="22">
        <v>0.2</v>
      </c>
      <c r="E14" s="23" t="e">
        <f>#REF!</f>
        <v>#REF!</v>
      </c>
      <c r="F14" s="40" t="e">
        <f>'保护建筑(销售商业)'!F14</f>
        <v>#REF!</v>
      </c>
      <c r="G14" s="28" t="e">
        <f t="shared" si="1"/>
        <v>#REF!</v>
      </c>
      <c r="H14" s="28" t="e">
        <f>IF(G14=0,"",IF(#REF!=0,"",G14*10000/#REF!))</f>
        <v>#REF!</v>
      </c>
      <c r="I14" s="43"/>
      <c r="J14" s="43"/>
      <c r="K14" s="43"/>
      <c r="L14" s="43"/>
      <c r="M14" s="58"/>
    </row>
    <row r="15" s="2" customFormat="1" ht="15" customHeight="1" outlineLevel="1" spans="1:13">
      <c r="A15" s="26" t="s">
        <v>622</v>
      </c>
      <c r="B15" s="1828" t="s">
        <v>1564</v>
      </c>
      <c r="C15" s="22" t="s">
        <v>505</v>
      </c>
      <c r="D15" s="22"/>
      <c r="E15" s="23"/>
      <c r="F15" s="79"/>
      <c r="G15" s="28" t="e">
        <f>SUM(G16:G20)</f>
        <v>#REF!</v>
      </c>
      <c r="H15" s="28" t="e">
        <f>IF(G15=0,"",IF(#REF!=0,"",G15*10000/#REF!))</f>
        <v>#REF!</v>
      </c>
      <c r="I15" s="43"/>
      <c r="J15" s="43"/>
      <c r="K15" s="43"/>
      <c r="L15" s="43"/>
      <c r="M15" s="58"/>
    </row>
    <row r="16" s="2" customFormat="1" ht="15" customHeight="1" outlineLevel="1" spans="1:13">
      <c r="A16" s="26"/>
      <c r="B16" s="34" t="s">
        <v>2260</v>
      </c>
      <c r="C16" s="22" t="s">
        <v>505</v>
      </c>
      <c r="D16" s="40">
        <f>高层18!D16</f>
        <v>0.9</v>
      </c>
      <c r="E16" s="23" t="e">
        <f>#REF!</f>
        <v>#REF!</v>
      </c>
      <c r="F16" s="79">
        <v>28</v>
      </c>
      <c r="G16" s="28" t="e">
        <f>E16*F16*D16/10000</f>
        <v>#REF!</v>
      </c>
      <c r="H16" s="28"/>
      <c r="I16" s="43"/>
      <c r="J16" s="43"/>
      <c r="K16" s="43"/>
      <c r="L16" s="43"/>
      <c r="M16" s="58"/>
    </row>
    <row r="17" s="2" customFormat="1" ht="15" customHeight="1" outlineLevel="1" spans="1:13">
      <c r="A17" s="26"/>
      <c r="B17" s="34" t="s">
        <v>2328</v>
      </c>
      <c r="C17" s="22" t="s">
        <v>505</v>
      </c>
      <c r="D17" s="40">
        <v>3</v>
      </c>
      <c r="E17" s="23" t="e">
        <f>#REF!</f>
        <v>#REF!</v>
      </c>
      <c r="F17" s="79">
        <v>32</v>
      </c>
      <c r="G17" s="28" t="e">
        <f>E17*F17*D17/10000</f>
        <v>#REF!</v>
      </c>
      <c r="H17" s="28"/>
      <c r="I17" s="43"/>
      <c r="J17" s="43"/>
      <c r="K17" s="43"/>
      <c r="L17" s="43"/>
      <c r="M17" s="58"/>
    </row>
    <row r="18" s="2" customFormat="1" ht="15" customHeight="1" outlineLevel="1" spans="1:13">
      <c r="A18" s="26"/>
      <c r="B18" s="34" t="s">
        <v>2263</v>
      </c>
      <c r="C18" s="22" t="s">
        <v>505</v>
      </c>
      <c r="D18" s="40">
        <f>高层18!D18</f>
        <v>1.9</v>
      </c>
      <c r="E18" s="23" t="e">
        <f>#REF!</f>
        <v>#REF!</v>
      </c>
      <c r="F18" s="79">
        <v>8</v>
      </c>
      <c r="G18" s="28" t="e">
        <f t="shared" ref="G18:G26" si="2">E18*F18*D18/10000</f>
        <v>#REF!</v>
      </c>
      <c r="H18" s="28"/>
      <c r="I18" s="43"/>
      <c r="J18" s="43"/>
      <c r="K18" s="43"/>
      <c r="L18" s="43"/>
      <c r="M18" s="58"/>
    </row>
    <row r="19" s="2" customFormat="1" ht="15" customHeight="1" outlineLevel="1" spans="1:13">
      <c r="A19" s="26"/>
      <c r="B19" s="34" t="s">
        <v>2329</v>
      </c>
      <c r="C19" s="22" t="s">
        <v>505</v>
      </c>
      <c r="D19" s="40">
        <f>高层18!D19</f>
        <v>0.5</v>
      </c>
      <c r="E19" s="23" t="e">
        <f>#REF!</f>
        <v>#REF!</v>
      </c>
      <c r="F19" s="79">
        <v>18</v>
      </c>
      <c r="G19" s="28" t="e">
        <f t="shared" si="2"/>
        <v>#REF!</v>
      </c>
      <c r="H19" s="28"/>
      <c r="I19" s="43"/>
      <c r="J19" s="43"/>
      <c r="K19" s="43"/>
      <c r="L19" s="43"/>
      <c r="M19" s="58"/>
    </row>
    <row r="20" s="2" customFormat="1" ht="15" customHeight="1" outlineLevel="1" spans="1:13">
      <c r="A20" s="26"/>
      <c r="B20" s="34" t="s">
        <v>2330</v>
      </c>
      <c r="C20" s="22" t="s">
        <v>505</v>
      </c>
      <c r="D20" s="40"/>
      <c r="E20" s="23" t="e">
        <f>#REF!</f>
        <v>#REF!</v>
      </c>
      <c r="F20" s="79">
        <v>86</v>
      </c>
      <c r="G20" s="28" t="e">
        <f t="shared" si="2"/>
        <v>#REF!</v>
      </c>
      <c r="H20" s="28"/>
      <c r="I20" s="43"/>
      <c r="J20" s="43"/>
      <c r="K20" s="43"/>
      <c r="L20" s="43"/>
      <c r="M20" s="58"/>
    </row>
    <row r="21" s="2" customFormat="1" ht="15" customHeight="1" outlineLevel="1" spans="1:13">
      <c r="A21" s="26" t="s">
        <v>622</v>
      </c>
      <c r="B21" s="1828" t="s">
        <v>2266</v>
      </c>
      <c r="C21" s="22"/>
      <c r="D21" s="79"/>
      <c r="E21" s="23"/>
      <c r="F21" s="79"/>
      <c r="G21" s="28" t="e">
        <f>SUM(G22:G26)</f>
        <v>#REF!</v>
      </c>
      <c r="H21" s="28" t="e">
        <f>IF(G21=0,"",IF(#REF!=0,"",G21*10000/#REF!))</f>
        <v>#REF!</v>
      </c>
      <c r="I21" s="43"/>
      <c r="J21" s="43"/>
      <c r="K21" s="43"/>
      <c r="L21" s="43"/>
      <c r="M21" s="58"/>
    </row>
    <row r="22" s="2" customFormat="1" ht="15" customHeight="1" outlineLevel="1" spans="1:13">
      <c r="A22" s="26"/>
      <c r="B22" s="34" t="s">
        <v>2271</v>
      </c>
      <c r="C22" s="80" t="s">
        <v>598</v>
      </c>
      <c r="D22" s="79">
        <f>高层18!D22</f>
        <v>1.3</v>
      </c>
      <c r="E22" s="23" t="e">
        <f>#REF!</f>
        <v>#REF!</v>
      </c>
      <c r="F22" s="79">
        <v>98</v>
      </c>
      <c r="G22" s="28" t="e">
        <f t="shared" si="2"/>
        <v>#REF!</v>
      </c>
      <c r="H22" s="28"/>
      <c r="I22" s="43"/>
      <c r="J22" s="43"/>
      <c r="K22" s="43"/>
      <c r="L22" s="43"/>
      <c r="M22" s="58"/>
    </row>
    <row r="23" s="2" customFormat="1" ht="15" customHeight="1" outlineLevel="1" spans="1:13">
      <c r="A23" s="26"/>
      <c r="B23" s="34" t="s">
        <v>2331</v>
      </c>
      <c r="C23" s="80" t="s">
        <v>598</v>
      </c>
      <c r="D23" s="79">
        <f>高层18!D23</f>
        <v>1</v>
      </c>
      <c r="E23" s="23" t="e">
        <f>#REF!</f>
        <v>#REF!</v>
      </c>
      <c r="F23" s="79">
        <v>47</v>
      </c>
      <c r="G23" s="28" t="e">
        <f t="shared" si="2"/>
        <v>#REF!</v>
      </c>
      <c r="H23" s="28"/>
      <c r="I23" s="43"/>
      <c r="J23" s="43"/>
      <c r="K23" s="43"/>
      <c r="L23" s="43"/>
      <c r="M23" s="58"/>
    </row>
    <row r="24" s="2" customFormat="1" ht="15" customHeight="1" outlineLevel="1" spans="1:13">
      <c r="A24" s="26"/>
      <c r="B24" s="34" t="s">
        <v>2332</v>
      </c>
      <c r="C24" s="22" t="s">
        <v>505</v>
      </c>
      <c r="D24" s="79">
        <f>高层18!D24</f>
        <v>0.15</v>
      </c>
      <c r="E24" s="23" t="e">
        <f>#REF!</f>
        <v>#REF!</v>
      </c>
      <c r="F24" s="79">
        <v>47</v>
      </c>
      <c r="G24" s="28" t="e">
        <f t="shared" si="2"/>
        <v>#REF!</v>
      </c>
      <c r="H24" s="28"/>
      <c r="I24" s="43"/>
      <c r="J24" s="43"/>
      <c r="K24" s="43"/>
      <c r="L24" s="43"/>
      <c r="M24" s="58"/>
    </row>
    <row r="25" s="2" customFormat="1" ht="15" customHeight="1" outlineLevel="1" spans="1:13">
      <c r="A25" s="26"/>
      <c r="B25" s="34" t="s">
        <v>2269</v>
      </c>
      <c r="C25" s="22" t="s">
        <v>505</v>
      </c>
      <c r="D25" s="79">
        <f>高层18!D25</f>
        <v>0.15</v>
      </c>
      <c r="E25" s="23" t="e">
        <f>#REF!</f>
        <v>#REF!</v>
      </c>
      <c r="F25" s="79">
        <v>43</v>
      </c>
      <c r="G25" s="28" t="e">
        <f t="shared" si="2"/>
        <v>#REF!</v>
      </c>
      <c r="H25" s="28"/>
      <c r="I25" s="43"/>
      <c r="J25" s="43"/>
      <c r="K25" s="43"/>
      <c r="L25" s="43"/>
      <c r="M25" s="58"/>
    </row>
    <row r="26" s="2" customFormat="1" ht="15" customHeight="1" outlineLevel="1" spans="1:13">
      <c r="A26" s="26"/>
      <c r="B26" s="34" t="s">
        <v>2333</v>
      </c>
      <c r="C26" s="22" t="s">
        <v>505</v>
      </c>
      <c r="D26" s="79">
        <f>高层18!D26</f>
        <v>0.05</v>
      </c>
      <c r="E26" s="23" t="e">
        <f>#REF!</f>
        <v>#REF!</v>
      </c>
      <c r="F26" s="79">
        <v>47</v>
      </c>
      <c r="G26" s="28" t="e">
        <f t="shared" si="2"/>
        <v>#REF!</v>
      </c>
      <c r="H26" s="28"/>
      <c r="I26" s="43"/>
      <c r="J26" s="43"/>
      <c r="K26" s="43"/>
      <c r="L26" s="43"/>
      <c r="M26" s="58"/>
    </row>
    <row r="27" s="2" customFormat="1" ht="15" customHeight="1" outlineLevel="1" spans="1:13">
      <c r="A27" s="26" t="s">
        <v>622</v>
      </c>
      <c r="B27" s="27" t="s">
        <v>1275</v>
      </c>
      <c r="C27" s="22"/>
      <c r="D27" s="22"/>
      <c r="E27" s="23"/>
      <c r="F27" s="79"/>
      <c r="G27" s="28" t="e">
        <f>SUM(G28:G30)</f>
        <v>#REF!</v>
      </c>
      <c r="H27" s="28" t="e">
        <f>IF(G27=0,"",IF(#REF!=0,"",G27*10000/#REF!))</f>
        <v>#REF!</v>
      </c>
      <c r="I27" s="43"/>
      <c r="J27" s="43"/>
      <c r="K27" s="43"/>
      <c r="L27" s="43"/>
      <c r="M27" s="58"/>
    </row>
    <row r="28" s="2" customFormat="1" ht="15" customHeight="1" outlineLevel="1" spans="1:13">
      <c r="A28" s="26"/>
      <c r="B28" s="1829" t="s">
        <v>2274</v>
      </c>
      <c r="C28" s="22" t="s">
        <v>505</v>
      </c>
      <c r="D28" s="22">
        <v>1</v>
      </c>
      <c r="E28" s="23" t="e">
        <f>#REF!</f>
        <v>#REF!</v>
      </c>
      <c r="F28" s="79">
        <f>200+100</f>
        <v>300</v>
      </c>
      <c r="G28" s="28" t="e">
        <f t="shared" ref="G28:G30" si="3">D28*E28*F28/10000</f>
        <v>#REF!</v>
      </c>
      <c r="H28" s="28" t="e">
        <f>IF(G28=0,"",IF(#REF!=0,"",G28*10000/#REF!))</f>
        <v>#REF!</v>
      </c>
      <c r="I28" s="43"/>
      <c r="J28" s="43"/>
      <c r="K28" s="43"/>
      <c r="L28" s="43"/>
      <c r="M28" s="58"/>
    </row>
    <row r="29" s="2" customFormat="1" ht="15" customHeight="1" outlineLevel="1" spans="1:13">
      <c r="A29" s="26"/>
      <c r="B29" s="1829" t="s">
        <v>2275</v>
      </c>
      <c r="C29" s="22" t="s">
        <v>505</v>
      </c>
      <c r="D29" s="22">
        <v>0.03</v>
      </c>
      <c r="E29" s="23" t="e">
        <f>#REF!</f>
        <v>#REF!</v>
      </c>
      <c r="F29" s="42" t="e">
        <f>SUM(H10,H14,H15,H28,H21)</f>
        <v>#REF!</v>
      </c>
      <c r="G29" s="28" t="e">
        <f t="shared" si="3"/>
        <v>#REF!</v>
      </c>
      <c r="H29" s="28"/>
      <c r="I29" s="43"/>
      <c r="J29" s="43"/>
      <c r="K29" s="43"/>
      <c r="L29" s="43"/>
      <c r="M29" s="61"/>
    </row>
    <row r="30" s="2" customFormat="1" ht="15" customHeight="1" outlineLevel="1" spans="1:13">
      <c r="A30" s="26"/>
      <c r="B30" s="43" t="s">
        <v>2277</v>
      </c>
      <c r="C30" s="22"/>
      <c r="D30" s="22">
        <v>1</v>
      </c>
      <c r="E30" s="23" t="e">
        <f>#REF!</f>
        <v>#REF!</v>
      </c>
      <c r="F30" s="79">
        <v>100</v>
      </c>
      <c r="G30" s="28" t="e">
        <f t="shared" si="3"/>
        <v>#REF!</v>
      </c>
      <c r="H30" s="28"/>
      <c r="I30" s="43"/>
      <c r="J30" s="43"/>
      <c r="K30" s="43"/>
      <c r="L30" s="43"/>
      <c r="M30" s="58"/>
    </row>
    <row r="31" s="2" customFormat="1" ht="15" customHeight="1" spans="1:13">
      <c r="A31" s="1825" t="s">
        <v>2336</v>
      </c>
      <c r="B31" s="15" t="s">
        <v>1803</v>
      </c>
      <c r="C31" s="16"/>
      <c r="D31" s="16"/>
      <c r="E31" s="17"/>
      <c r="F31" s="16"/>
      <c r="G31" s="18" t="e">
        <f>SUM(G32:G36)</f>
        <v>#REF!</v>
      </c>
      <c r="H31" s="18" t="e">
        <f>IF(G31=0,"",IF(#REF!=0,"",G31*10000/#REF!))</f>
        <v>#REF!</v>
      </c>
      <c r="I31" s="57"/>
      <c r="J31" s="57"/>
      <c r="K31" s="57"/>
      <c r="L31" s="57"/>
      <c r="M31" s="58"/>
    </row>
    <row r="32" s="2" customFormat="1" ht="15" customHeight="1" outlineLevel="1" spans="1:13">
      <c r="A32" s="19" t="s">
        <v>622</v>
      </c>
      <c r="B32" s="20" t="s">
        <v>2337</v>
      </c>
      <c r="C32" s="22" t="s">
        <v>602</v>
      </c>
      <c r="D32" s="22"/>
      <c r="E32" s="23"/>
      <c r="F32" s="22"/>
      <c r="G32" s="28">
        <f t="shared" ref="G32:G36" si="4">D32*E32*F32/10000</f>
        <v>0</v>
      </c>
      <c r="H32" s="28" t="str">
        <f>IF(G32=0,"",IF(#REF!=0,"",G32*10000/#REF!))</f>
        <v/>
      </c>
      <c r="I32" s="43"/>
      <c r="J32" s="43"/>
      <c r="K32" s="43"/>
      <c r="L32" s="43"/>
      <c r="M32" s="58"/>
    </row>
    <row r="33" s="2" customFormat="1" ht="15" customHeight="1" outlineLevel="1" spans="1:13">
      <c r="A33" s="19" t="s">
        <v>622</v>
      </c>
      <c r="B33" s="20" t="s">
        <v>1808</v>
      </c>
      <c r="C33" s="22" t="s">
        <v>1806</v>
      </c>
      <c r="D33" s="22"/>
      <c r="E33" s="23"/>
      <c r="F33" s="40"/>
      <c r="G33" s="28">
        <f t="shared" si="4"/>
        <v>0</v>
      </c>
      <c r="H33" s="28" t="str">
        <f>IF(G33=0,"",IF(#REF!=0,"",G33*10000/#REF!))</f>
        <v/>
      </c>
      <c r="I33" s="43"/>
      <c r="J33" s="43"/>
      <c r="K33" s="43"/>
      <c r="L33" s="43"/>
      <c r="M33" s="62"/>
    </row>
    <row r="34" s="2" customFormat="1" ht="15" customHeight="1" outlineLevel="1" spans="1:13">
      <c r="A34" s="19" t="s">
        <v>622</v>
      </c>
      <c r="B34" s="20" t="s">
        <v>2338</v>
      </c>
      <c r="C34" s="22" t="s">
        <v>505</v>
      </c>
      <c r="D34" s="22"/>
      <c r="E34" s="23"/>
      <c r="F34" s="79"/>
      <c r="G34" s="28">
        <f t="shared" si="4"/>
        <v>0</v>
      </c>
      <c r="H34" s="28" t="str">
        <f>IF(G34=0,"",IF(#REF!=0,"",G34*10000/#REF!))</f>
        <v/>
      </c>
      <c r="I34" s="43"/>
      <c r="J34" s="43"/>
      <c r="K34" s="43"/>
      <c r="L34" s="43"/>
      <c r="M34" s="58"/>
    </row>
    <row r="35" s="2" customFormat="1" ht="15" customHeight="1" outlineLevel="1" spans="1:13">
      <c r="A35" s="19" t="s">
        <v>622</v>
      </c>
      <c r="B35" s="20" t="s">
        <v>2307</v>
      </c>
      <c r="C35" s="22" t="s">
        <v>505</v>
      </c>
      <c r="D35" s="22">
        <v>1</v>
      </c>
      <c r="E35" s="23" t="e">
        <f>#REF!</f>
        <v>#REF!</v>
      </c>
      <c r="F35" s="79">
        <v>20</v>
      </c>
      <c r="G35" s="28" t="e">
        <f t="shared" si="4"/>
        <v>#REF!</v>
      </c>
      <c r="H35" s="28" t="e">
        <f>IF(G35=0,"",IF(#REF!=0,"",G35*10000/#REF!))</f>
        <v>#REF!</v>
      </c>
      <c r="I35" s="43"/>
      <c r="J35" s="43"/>
      <c r="K35" s="43"/>
      <c r="L35" s="43"/>
      <c r="M35" s="58"/>
    </row>
    <row r="36" s="2" customFormat="1" ht="18.75" customHeight="1" outlineLevel="1" spans="1:13">
      <c r="A36" s="19" t="s">
        <v>622</v>
      </c>
      <c r="B36" s="20" t="s">
        <v>1813</v>
      </c>
      <c r="C36" s="22" t="s">
        <v>505</v>
      </c>
      <c r="D36" s="22">
        <v>0.5</v>
      </c>
      <c r="E36" s="23" t="e">
        <f>#REF!</f>
        <v>#REF!</v>
      </c>
      <c r="F36" s="79">
        <v>1000</v>
      </c>
      <c r="G36" s="28" t="e">
        <f t="shared" si="4"/>
        <v>#REF!</v>
      </c>
      <c r="H36" s="28" t="e">
        <f>IF(G36=0,"",IF(#REF!=0,"",G36*10000/#REF!))</f>
        <v>#REF!</v>
      </c>
      <c r="I36" s="43"/>
      <c r="J36" s="43"/>
      <c r="K36" s="43"/>
      <c r="L36" s="43"/>
      <c r="M36" s="61"/>
    </row>
    <row r="37" s="2" customFormat="1" ht="15" customHeight="1" spans="1:13">
      <c r="A37" s="1825" t="s">
        <v>2340</v>
      </c>
      <c r="B37" s="15" t="s">
        <v>2308</v>
      </c>
      <c r="C37" s="16"/>
      <c r="D37" s="16"/>
      <c r="E37" s="17"/>
      <c r="F37" s="81"/>
      <c r="G37" s="18" t="e">
        <f>SUM(G38:G44)</f>
        <v>#REF!</v>
      </c>
      <c r="H37" s="18" t="e">
        <f>IF(G37=0,"",IF(#REF!=0,"",G37*10000/#REF!))</f>
        <v>#REF!</v>
      </c>
      <c r="I37" s="57"/>
      <c r="J37" s="57"/>
      <c r="K37" s="57"/>
      <c r="L37" s="57"/>
      <c r="M37" s="58"/>
    </row>
    <row r="38" s="2" customFormat="1" ht="15" customHeight="1" outlineLevel="1" spans="1:13">
      <c r="A38" s="19" t="s">
        <v>622</v>
      </c>
      <c r="B38" s="45" t="s">
        <v>2341</v>
      </c>
      <c r="C38" s="21" t="s">
        <v>505</v>
      </c>
      <c r="D38" s="47">
        <v>1</v>
      </c>
      <c r="E38" s="23" t="e">
        <f>#REF!</f>
        <v>#REF!</v>
      </c>
      <c r="F38" s="82"/>
      <c r="G38" s="28" t="e">
        <f>E38*F38*D38/10000</f>
        <v>#REF!</v>
      </c>
      <c r="H38" s="28" t="e">
        <f>IF(G38=0,"",IF(#REF!=0,"",G38*10000/#REF!))</f>
        <v>#REF!</v>
      </c>
      <c r="I38" s="43"/>
      <c r="J38" s="43"/>
      <c r="K38" s="43"/>
      <c r="L38" s="43"/>
      <c r="M38" s="58"/>
    </row>
    <row r="39" s="2" customFormat="1" ht="15" customHeight="1" outlineLevel="1" spans="1:13">
      <c r="A39" s="19" t="s">
        <v>622</v>
      </c>
      <c r="B39" s="45" t="s">
        <v>2312</v>
      </c>
      <c r="C39" s="21" t="s">
        <v>505</v>
      </c>
      <c r="D39" s="47">
        <v>1</v>
      </c>
      <c r="E39" s="23" t="e">
        <f>#REF!</f>
        <v>#REF!</v>
      </c>
      <c r="F39" s="82"/>
      <c r="G39" s="28" t="e">
        <f t="shared" ref="G39:G44" si="5">E39*F39*D39/10000</f>
        <v>#REF!</v>
      </c>
      <c r="H39" s="28" t="e">
        <f>IF(G39=0,"",IF(#REF!=0,"",G39*10000/#REF!))</f>
        <v>#REF!</v>
      </c>
      <c r="I39" s="43"/>
      <c r="J39" s="43"/>
      <c r="K39" s="43"/>
      <c r="L39" s="43"/>
      <c r="M39" s="58"/>
    </row>
    <row r="40" s="2" customFormat="1" ht="15" customHeight="1" outlineLevel="1" spans="1:13">
      <c r="A40" s="19" t="s">
        <v>622</v>
      </c>
      <c r="B40" s="45" t="s">
        <v>2297</v>
      </c>
      <c r="C40" s="21" t="s">
        <v>505</v>
      </c>
      <c r="D40" s="47">
        <v>1</v>
      </c>
      <c r="E40" s="23" t="e">
        <f>#REF!</f>
        <v>#REF!</v>
      </c>
      <c r="F40" s="83">
        <v>700</v>
      </c>
      <c r="G40" s="28" t="e">
        <f t="shared" si="5"/>
        <v>#REF!</v>
      </c>
      <c r="H40" s="28" t="e">
        <f>IF(G40=0,"",IF(#REF!=0,"",G40*10000/#REF!))</f>
        <v>#REF!</v>
      </c>
      <c r="I40" s="43"/>
      <c r="J40" s="43"/>
      <c r="K40" s="43"/>
      <c r="L40" s="43"/>
      <c r="M40" s="58"/>
    </row>
    <row r="41" s="2" customFormat="1" ht="15" customHeight="1" outlineLevel="1" spans="1:13">
      <c r="A41" s="19" t="s">
        <v>622</v>
      </c>
      <c r="B41" s="45" t="s">
        <v>2311</v>
      </c>
      <c r="C41" s="21" t="s">
        <v>505</v>
      </c>
      <c r="D41" s="23" t="e">
        <f>#REF!*#REF!</f>
        <v>#REF!</v>
      </c>
      <c r="E41" s="23"/>
      <c r="F41" s="83">
        <v>8</v>
      </c>
      <c r="G41" s="28" t="e">
        <f t="shared" si="5"/>
        <v>#REF!</v>
      </c>
      <c r="H41" s="28" t="e">
        <f>IF(G41=0,"",IF(#REF!=0,"",G41*10000/#REF!))</f>
        <v>#REF!</v>
      </c>
      <c r="I41" s="43"/>
      <c r="J41" s="43"/>
      <c r="K41" s="43"/>
      <c r="L41" s="43"/>
      <c r="M41" s="58"/>
    </row>
    <row r="42" s="2" customFormat="1" ht="15" customHeight="1" outlineLevel="1" spans="1:13">
      <c r="A42" s="19" t="s">
        <v>622</v>
      </c>
      <c r="B42" s="45" t="s">
        <v>2345</v>
      </c>
      <c r="C42" s="22" t="s">
        <v>862</v>
      </c>
      <c r="D42" s="47">
        <v>1.3</v>
      </c>
      <c r="E42" s="23" t="e">
        <f>#REF!</f>
        <v>#REF!</v>
      </c>
      <c r="F42" s="83">
        <v>35</v>
      </c>
      <c r="G42" s="28" t="e">
        <f t="shared" si="5"/>
        <v>#REF!</v>
      </c>
      <c r="H42" s="28" t="e">
        <f>IF(G42=0,"",IF(#REF!=0,"",G42*10000/#REF!))</f>
        <v>#REF!</v>
      </c>
      <c r="I42" s="43"/>
      <c r="J42" s="43"/>
      <c r="K42" s="43"/>
      <c r="L42" s="43"/>
      <c r="M42" s="58"/>
    </row>
    <row r="43" s="2" customFormat="1" ht="15" customHeight="1" outlineLevel="1" spans="1:13">
      <c r="A43" s="19" t="s">
        <v>622</v>
      </c>
      <c r="B43" s="45" t="s">
        <v>2306</v>
      </c>
      <c r="C43" s="21" t="s">
        <v>505</v>
      </c>
      <c r="D43" s="47">
        <v>1</v>
      </c>
      <c r="E43" s="23" t="e">
        <f>#REF!</f>
        <v>#REF!</v>
      </c>
      <c r="F43" s="82">
        <v>45</v>
      </c>
      <c r="G43" s="28" t="e">
        <f t="shared" si="5"/>
        <v>#REF!</v>
      </c>
      <c r="H43" s="28" t="e">
        <f>IF(G43=0,"",IF(#REF!=0,"",G43*10000/#REF!))</f>
        <v>#REF!</v>
      </c>
      <c r="I43" s="43"/>
      <c r="J43" s="43"/>
      <c r="K43" s="43"/>
      <c r="L43" s="43"/>
      <c r="M43" s="58"/>
    </row>
    <row r="44" s="2" customFormat="1" ht="15" customHeight="1" outlineLevel="1" spans="1:13">
      <c r="A44" s="19" t="s">
        <v>622</v>
      </c>
      <c r="B44" s="45" t="s">
        <v>2346</v>
      </c>
      <c r="C44" s="21" t="s">
        <v>505</v>
      </c>
      <c r="D44" s="47">
        <v>0.8</v>
      </c>
      <c r="E44" s="23" t="e">
        <f>#REF!</f>
        <v>#REF!</v>
      </c>
      <c r="F44" s="83">
        <v>100</v>
      </c>
      <c r="G44" s="28" t="e">
        <f t="shared" si="5"/>
        <v>#REF!</v>
      </c>
      <c r="H44" s="28" t="e">
        <f>IF(G44=0,"",IF(#REF!=0,"",G44*10000/#REF!))</f>
        <v>#REF!</v>
      </c>
      <c r="I44" s="43"/>
      <c r="J44" s="43"/>
      <c r="K44" s="43"/>
      <c r="L44" s="43"/>
      <c r="M44" s="58"/>
    </row>
    <row r="45" s="2" customFormat="1" ht="15" customHeight="1" spans="1:13">
      <c r="A45" s="1825" t="s">
        <v>2347</v>
      </c>
      <c r="B45" s="15" t="s">
        <v>1705</v>
      </c>
      <c r="C45" s="16"/>
      <c r="D45" s="16">
        <v>1</v>
      </c>
      <c r="E45" s="23" t="e">
        <f>#REF!</f>
        <v>#REF!</v>
      </c>
      <c r="F45" s="81">
        <v>100</v>
      </c>
      <c r="G45" s="18" t="e">
        <f>D45*E45*F45/10000</f>
        <v>#REF!</v>
      </c>
      <c r="H45" s="18" t="e">
        <f>IF(G45=0,"",IF(#REF!=0,"",G45*10000/#REF!))</f>
        <v>#REF!</v>
      </c>
      <c r="I45" s="57"/>
      <c r="J45" s="57"/>
      <c r="K45" s="57"/>
      <c r="L45" s="57"/>
      <c r="M45" s="58"/>
    </row>
    <row r="46" s="2" customFormat="1" ht="15" customHeight="1" spans="1:13">
      <c r="A46" s="10" t="s">
        <v>2348</v>
      </c>
      <c r="B46" s="11" t="s">
        <v>2349</v>
      </c>
      <c r="C46" s="12"/>
      <c r="D46" s="12"/>
      <c r="E46" s="48"/>
      <c r="F46" s="12"/>
      <c r="G46" s="13" t="e">
        <f>G47+G58+G64</f>
        <v>#REF!</v>
      </c>
      <c r="H46" s="13" t="e">
        <f>IF(G46=0,"",IF(#REF!=0,"",G46*10000/#REF!))</f>
        <v>#REF!</v>
      </c>
      <c r="I46" s="55"/>
      <c r="J46" s="55"/>
      <c r="K46" s="55"/>
      <c r="L46" s="55"/>
      <c r="M46" s="63"/>
    </row>
    <row r="47" s="2" customFormat="1" ht="15" customHeight="1" spans="1:13">
      <c r="A47" s="1825" t="s">
        <v>2247</v>
      </c>
      <c r="B47" s="15" t="s">
        <v>2279</v>
      </c>
      <c r="C47" s="16"/>
      <c r="D47" s="16"/>
      <c r="E47" s="17"/>
      <c r="F47" s="16"/>
      <c r="G47" s="18" t="e">
        <f>G48+G53+G52</f>
        <v>#REF!</v>
      </c>
      <c r="H47" s="18" t="e">
        <f>IF(G47=0,"",IF(#REF!=0,"",G47*10000/#REF!))</f>
        <v>#REF!</v>
      </c>
      <c r="I47" s="57"/>
      <c r="J47" s="57"/>
      <c r="K47" s="57"/>
      <c r="L47" s="57"/>
      <c r="M47" s="58"/>
    </row>
    <row r="48" s="2" customFormat="1" ht="15" customHeight="1" outlineLevel="1" spans="1:13">
      <c r="A48" s="19" t="s">
        <v>622</v>
      </c>
      <c r="B48" s="20" t="s">
        <v>2280</v>
      </c>
      <c r="C48" s="22" t="s">
        <v>505</v>
      </c>
      <c r="D48" s="49"/>
      <c r="E48" s="23"/>
      <c r="F48" s="22"/>
      <c r="G48" s="28" t="e">
        <f>SUM(G49:G51)</f>
        <v>#REF!</v>
      </c>
      <c r="H48" s="28" t="e">
        <f>IF(G48=0,"",IF(#REF!=0,"",G48*10000/#REF!))</f>
        <v>#REF!</v>
      </c>
      <c r="I48" s="43"/>
      <c r="J48" s="43"/>
      <c r="K48" s="43"/>
      <c r="L48" s="43"/>
      <c r="M48" s="58"/>
    </row>
    <row r="49" s="2" customFormat="1" ht="15" customHeight="1" outlineLevel="1" spans="1:13">
      <c r="A49" s="19"/>
      <c r="B49" s="45" t="s">
        <v>2477</v>
      </c>
      <c r="C49" s="21" t="s">
        <v>505</v>
      </c>
      <c r="D49" s="21">
        <v>1</v>
      </c>
      <c r="E49" s="23" t="e">
        <f>#REF!</f>
        <v>#REF!</v>
      </c>
      <c r="F49" s="36">
        <v>100</v>
      </c>
      <c r="G49" s="28" t="e">
        <f t="shared" ref="G49:G57" si="6">D49*E49*F49/10000</f>
        <v>#REF!</v>
      </c>
      <c r="H49" s="28"/>
      <c r="I49" s="43"/>
      <c r="J49" s="43"/>
      <c r="K49" s="43"/>
      <c r="L49" s="43"/>
      <c r="M49" s="58"/>
    </row>
    <row r="50" s="2" customFormat="1" ht="15" customHeight="1" outlineLevel="1" spans="1:13">
      <c r="A50" s="19"/>
      <c r="B50" s="45" t="s">
        <v>2478</v>
      </c>
      <c r="C50" s="21" t="s">
        <v>505</v>
      </c>
      <c r="D50" s="21">
        <v>1</v>
      </c>
      <c r="E50" s="23" t="e">
        <f>#REF!</f>
        <v>#REF!</v>
      </c>
      <c r="F50" s="36">
        <v>5</v>
      </c>
      <c r="G50" s="28" t="e">
        <f t="shared" si="6"/>
        <v>#REF!</v>
      </c>
      <c r="H50" s="28"/>
      <c r="I50" s="43"/>
      <c r="J50" s="43"/>
      <c r="K50" s="43"/>
      <c r="L50" s="43"/>
      <c r="M50" s="58"/>
    </row>
    <row r="51" s="2" customFormat="1" ht="15" customHeight="1" outlineLevel="1" spans="1:13">
      <c r="A51" s="19"/>
      <c r="B51" s="45" t="s">
        <v>2479</v>
      </c>
      <c r="C51" s="21" t="s">
        <v>505</v>
      </c>
      <c r="D51" s="21">
        <v>1</v>
      </c>
      <c r="E51" s="23" t="e">
        <f>#REF!</f>
        <v>#REF!</v>
      </c>
      <c r="F51" s="36">
        <v>5</v>
      </c>
      <c r="G51" s="28" t="e">
        <f t="shared" si="6"/>
        <v>#REF!</v>
      </c>
      <c r="H51" s="28"/>
      <c r="I51" s="43"/>
      <c r="J51" s="43"/>
      <c r="K51" s="43"/>
      <c r="L51" s="43"/>
      <c r="M51" s="58"/>
    </row>
    <row r="52" s="2" customFormat="1" ht="15" customHeight="1" outlineLevel="1" spans="1:13">
      <c r="A52" s="19" t="s">
        <v>622</v>
      </c>
      <c r="B52" s="20" t="s">
        <v>2284</v>
      </c>
      <c r="C52" s="21" t="s">
        <v>505</v>
      </c>
      <c r="D52" s="21">
        <v>1</v>
      </c>
      <c r="E52" s="23" t="e">
        <f>#REF!</f>
        <v>#REF!</v>
      </c>
      <c r="F52" s="36"/>
      <c r="G52" s="28" t="e">
        <f t="shared" si="6"/>
        <v>#REF!</v>
      </c>
      <c r="H52" s="28" t="e">
        <f>IF(G52=0,"",IF(#REF!=0,"",G52*10000/#REF!))</f>
        <v>#REF!</v>
      </c>
      <c r="I52" s="43"/>
      <c r="J52" s="43"/>
      <c r="K52" s="43"/>
      <c r="L52" s="43"/>
      <c r="M52" s="58"/>
    </row>
    <row r="53" s="2" customFormat="1" ht="15" customHeight="1" outlineLevel="1" spans="1:13">
      <c r="A53" s="19" t="s">
        <v>622</v>
      </c>
      <c r="B53" s="20" t="s">
        <v>2285</v>
      </c>
      <c r="C53" s="22" t="s">
        <v>505</v>
      </c>
      <c r="D53" s="49"/>
      <c r="E53" s="23"/>
      <c r="F53" s="36"/>
      <c r="G53" s="28" t="e">
        <f>SUM(G54:G57)</f>
        <v>#REF!</v>
      </c>
      <c r="H53" s="28" t="e">
        <f>IF(G53=0,"",IF(#REF!=0,"",G53*10000/#REF!))</f>
        <v>#REF!</v>
      </c>
      <c r="I53" s="43"/>
      <c r="J53" s="43"/>
      <c r="K53" s="43"/>
      <c r="L53" s="43"/>
      <c r="M53" s="58"/>
    </row>
    <row r="54" s="2" customFormat="1" ht="16.5" customHeight="1" outlineLevel="1" spans="1:13">
      <c r="A54" s="19"/>
      <c r="B54" s="45" t="s">
        <v>2356</v>
      </c>
      <c r="C54" s="21" t="s">
        <v>505</v>
      </c>
      <c r="D54" s="21">
        <v>1</v>
      </c>
      <c r="E54" s="23" t="e">
        <f>#REF!</f>
        <v>#REF!</v>
      </c>
      <c r="F54" s="36">
        <v>150</v>
      </c>
      <c r="G54" s="28" t="e">
        <f t="shared" si="6"/>
        <v>#REF!</v>
      </c>
      <c r="H54" s="28"/>
      <c r="I54" s="43"/>
      <c r="J54" s="43"/>
      <c r="K54" s="43"/>
      <c r="L54" s="43"/>
      <c r="M54" s="58"/>
    </row>
    <row r="55" s="2" customFormat="1" ht="15" customHeight="1" outlineLevel="1" spans="1:13">
      <c r="A55" s="19"/>
      <c r="B55" s="45" t="s">
        <v>2480</v>
      </c>
      <c r="C55" s="21" t="s">
        <v>505</v>
      </c>
      <c r="D55" s="21">
        <v>1</v>
      </c>
      <c r="E55" s="23" t="e">
        <f>#REF!</f>
        <v>#REF!</v>
      </c>
      <c r="F55" s="36">
        <v>10</v>
      </c>
      <c r="G55" s="28" t="e">
        <f t="shared" si="6"/>
        <v>#REF!</v>
      </c>
      <c r="H55" s="28"/>
      <c r="I55" s="43"/>
      <c r="J55" s="43"/>
      <c r="K55" s="43"/>
      <c r="L55" s="43"/>
      <c r="M55" s="58"/>
    </row>
    <row r="56" s="2" customFormat="1" ht="15" customHeight="1" outlineLevel="1" spans="1:13">
      <c r="A56" s="19"/>
      <c r="B56" s="45" t="s">
        <v>2481</v>
      </c>
      <c r="C56" s="21" t="s">
        <v>505</v>
      </c>
      <c r="D56" s="21">
        <v>1</v>
      </c>
      <c r="E56" s="23" t="e">
        <f>#REF!</f>
        <v>#REF!</v>
      </c>
      <c r="F56" s="36">
        <v>20</v>
      </c>
      <c r="G56" s="28" t="e">
        <f t="shared" si="6"/>
        <v>#REF!</v>
      </c>
      <c r="H56" s="28"/>
      <c r="I56" s="43"/>
      <c r="J56" s="43"/>
      <c r="K56" s="43"/>
      <c r="L56" s="43"/>
      <c r="M56" s="74"/>
    </row>
    <row r="57" s="2" customFormat="1" ht="15" customHeight="1" outlineLevel="1" spans="1:13">
      <c r="A57" s="19"/>
      <c r="B57" s="45" t="s">
        <v>2358</v>
      </c>
      <c r="C57" s="21" t="s">
        <v>505</v>
      </c>
      <c r="D57" s="21">
        <v>1</v>
      </c>
      <c r="E57" s="23" t="e">
        <f>#REF!</f>
        <v>#REF!</v>
      </c>
      <c r="F57" s="93">
        <v>10</v>
      </c>
      <c r="G57" s="28" t="e">
        <f t="shared" si="6"/>
        <v>#REF!</v>
      </c>
      <c r="H57" s="28"/>
      <c r="I57" s="43"/>
      <c r="J57" s="43"/>
      <c r="K57" s="43"/>
      <c r="L57" s="43"/>
      <c r="M57" s="58"/>
    </row>
    <row r="58" s="2" customFormat="1" ht="15" customHeight="1" spans="1:13">
      <c r="A58" s="1825" t="s">
        <v>2257</v>
      </c>
      <c r="B58" s="15" t="s">
        <v>2291</v>
      </c>
      <c r="C58" s="16"/>
      <c r="D58" s="16"/>
      <c r="E58" s="17"/>
      <c r="F58" s="81"/>
      <c r="G58" s="18" t="e">
        <f>SUM(G59:G63)</f>
        <v>#REF!</v>
      </c>
      <c r="H58" s="18" t="e">
        <f>IF(G58=0,"",IF(#REF!=0,"",G58*10000/#REF!))</f>
        <v>#REF!</v>
      </c>
      <c r="I58" s="57"/>
      <c r="J58" s="57"/>
      <c r="K58" s="57"/>
      <c r="L58" s="57"/>
      <c r="M58" s="58"/>
    </row>
    <row r="59" s="2" customFormat="1" ht="15" customHeight="1" outlineLevel="1" spans="1:13">
      <c r="A59" s="19" t="s">
        <v>622</v>
      </c>
      <c r="B59" s="20" t="s">
        <v>2293</v>
      </c>
      <c r="C59" s="66" t="s">
        <v>602</v>
      </c>
      <c r="D59" s="21">
        <v>1</v>
      </c>
      <c r="E59" s="23" t="e">
        <f>#REF!</f>
        <v>#REF!</v>
      </c>
      <c r="F59" s="79">
        <v>100</v>
      </c>
      <c r="G59" s="28" t="e">
        <f t="shared" ref="G59:G61" si="7">E59*F59/10000</f>
        <v>#REF!</v>
      </c>
      <c r="H59" s="28"/>
      <c r="I59" s="43"/>
      <c r="J59" s="43"/>
      <c r="K59" s="43"/>
      <c r="L59" s="43"/>
      <c r="M59" s="58"/>
    </row>
    <row r="60" s="2" customFormat="1" ht="15" customHeight="1" outlineLevel="1" spans="1:13">
      <c r="A60" s="19" t="s">
        <v>622</v>
      </c>
      <c r="B60" s="20" t="s">
        <v>2292</v>
      </c>
      <c r="C60" s="66"/>
      <c r="D60" s="21">
        <v>1</v>
      </c>
      <c r="E60" s="23" t="e">
        <f>#REF!</f>
        <v>#REF!</v>
      </c>
      <c r="F60" s="79">
        <v>400</v>
      </c>
      <c r="G60" s="28" t="e">
        <f t="shared" si="7"/>
        <v>#REF!</v>
      </c>
      <c r="H60" s="28"/>
      <c r="I60" s="43"/>
      <c r="J60" s="43"/>
      <c r="K60" s="43"/>
      <c r="L60" s="43"/>
      <c r="M60" s="58"/>
    </row>
    <row r="61" s="2" customFormat="1" ht="15" customHeight="1" outlineLevel="1" spans="1:13">
      <c r="A61" s="19" t="s">
        <v>622</v>
      </c>
      <c r="B61" s="20" t="s">
        <v>2482</v>
      </c>
      <c r="C61" s="66"/>
      <c r="D61" s="21">
        <v>1</v>
      </c>
      <c r="E61" s="23" t="e">
        <f>#REF!</f>
        <v>#REF!</v>
      </c>
      <c r="F61" s="79">
        <v>100</v>
      </c>
      <c r="G61" s="28" t="e">
        <f t="shared" si="7"/>
        <v>#REF!</v>
      </c>
      <c r="H61" s="28"/>
      <c r="I61" s="43"/>
      <c r="J61" s="43"/>
      <c r="K61" s="43"/>
      <c r="L61" s="43"/>
      <c r="M61" s="58"/>
    </row>
    <row r="62" s="2" customFormat="1" ht="15" customHeight="1" outlineLevel="1" spans="1:13">
      <c r="A62" s="19" t="s">
        <v>622</v>
      </c>
      <c r="B62" s="20" t="s">
        <v>2295</v>
      </c>
      <c r="C62" s="22" t="s">
        <v>505</v>
      </c>
      <c r="D62" s="21">
        <v>1</v>
      </c>
      <c r="E62" s="23" t="e">
        <f>#REF!</f>
        <v>#REF!</v>
      </c>
      <c r="F62" s="85">
        <v>250</v>
      </c>
      <c r="G62" s="28" t="e">
        <f>D62*E62*F62/10000</f>
        <v>#REF!</v>
      </c>
      <c r="H62" s="28"/>
      <c r="I62" s="43"/>
      <c r="J62" s="43"/>
      <c r="K62" s="43"/>
      <c r="L62" s="43"/>
      <c r="M62" s="58"/>
    </row>
    <row r="63" s="2" customFormat="1" ht="15" customHeight="1" outlineLevel="1" spans="1:13">
      <c r="A63" s="19" t="s">
        <v>622</v>
      </c>
      <c r="B63" s="20" t="s">
        <v>2483</v>
      </c>
      <c r="C63" s="22" t="s">
        <v>505</v>
      </c>
      <c r="D63" s="21">
        <v>1</v>
      </c>
      <c r="E63" s="23" t="e">
        <f>#REF!</f>
        <v>#REF!</v>
      </c>
      <c r="F63" s="85">
        <v>2500</v>
      </c>
      <c r="G63" s="28" t="e">
        <f>D63*E63*F63/10000</f>
        <v>#REF!</v>
      </c>
      <c r="H63" s="28"/>
      <c r="I63" s="43"/>
      <c r="J63" s="43"/>
      <c r="K63" s="43"/>
      <c r="L63" s="43"/>
      <c r="M63" s="58"/>
    </row>
    <row r="64" s="2" customFormat="1" ht="15" customHeight="1" spans="1:13">
      <c r="A64" s="1825" t="s">
        <v>2362</v>
      </c>
      <c r="B64" s="15" t="s">
        <v>2363</v>
      </c>
      <c r="C64" s="16"/>
      <c r="D64" s="16"/>
      <c r="E64" s="17"/>
      <c r="F64" s="81"/>
      <c r="G64" s="18" t="e">
        <f>SUM(G65:G67)</f>
        <v>#REF!</v>
      </c>
      <c r="H64" s="18" t="e">
        <f>IF(G64=0,"",IF(#REF!=0,"",G64*10000/#REF!))</f>
        <v>#REF!</v>
      </c>
      <c r="I64" s="57"/>
      <c r="J64" s="57"/>
      <c r="K64" s="57"/>
      <c r="L64" s="57"/>
      <c r="M64" s="74"/>
    </row>
    <row r="65" s="2" customFormat="1" ht="15" customHeight="1" outlineLevel="1" spans="1:13">
      <c r="A65" s="19" t="s">
        <v>622</v>
      </c>
      <c r="B65" s="20" t="s">
        <v>2365</v>
      </c>
      <c r="C65" s="66" t="s">
        <v>601</v>
      </c>
      <c r="D65" s="21">
        <v>1</v>
      </c>
      <c r="E65" s="23" t="e">
        <f>#REF!</f>
        <v>#REF!</v>
      </c>
      <c r="F65" s="86">
        <v>200</v>
      </c>
      <c r="G65" s="28" t="e">
        <f t="shared" ref="G65:G67" si="8">E65*F65/10000</f>
        <v>#REF!</v>
      </c>
      <c r="H65" s="28" t="e">
        <f>IF(G65=0,"",IF(#REF!=0,"",G65*10000/#REF!))</f>
        <v>#REF!</v>
      </c>
      <c r="I65" s="43"/>
      <c r="J65" s="43"/>
      <c r="K65" s="43"/>
      <c r="L65" s="43"/>
      <c r="M65" s="58"/>
    </row>
    <row r="66" s="2" customFormat="1" ht="15" customHeight="1" outlineLevel="1" spans="1:13">
      <c r="A66" s="19" t="s">
        <v>622</v>
      </c>
      <c r="B66" s="20" t="s">
        <v>2367</v>
      </c>
      <c r="C66" s="66" t="s">
        <v>601</v>
      </c>
      <c r="D66" s="21">
        <v>1</v>
      </c>
      <c r="E66" s="23"/>
      <c r="F66" s="79"/>
      <c r="G66" s="28">
        <f t="shared" si="8"/>
        <v>0</v>
      </c>
      <c r="H66" s="28" t="str">
        <f>IF(G66=0,"",IF(#REF!=0,"",G66*10000/#REF!))</f>
        <v/>
      </c>
      <c r="I66" s="43"/>
      <c r="J66" s="43"/>
      <c r="K66" s="43"/>
      <c r="L66" s="43"/>
      <c r="M66" s="58"/>
    </row>
    <row r="67" s="2" customFormat="1" ht="15" customHeight="1" outlineLevel="1" spans="1:13">
      <c r="A67" s="68" t="s">
        <v>622</v>
      </c>
      <c r="B67" s="69" t="s">
        <v>2368</v>
      </c>
      <c r="C67" s="70" t="s">
        <v>601</v>
      </c>
      <c r="D67" s="71"/>
      <c r="E67" s="72"/>
      <c r="F67" s="71"/>
      <c r="G67" s="73">
        <f t="shared" si="8"/>
        <v>0</v>
      </c>
      <c r="H67" s="73" t="s">
        <v>511</v>
      </c>
      <c r="I67" s="75"/>
      <c r="J67" s="75"/>
      <c r="K67" s="75"/>
      <c r="L67" s="75"/>
      <c r="M67" s="76"/>
    </row>
  </sheetData>
  <mergeCells count="1">
    <mergeCell ref="C1:E1"/>
  </mergeCells>
  <pageMargins left="0.75" right="0.75" top="1" bottom="1" header="0.5" footer="0.5"/>
  <pageSetup paperSize="9" orientation="portrait"/>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59"/>
  <sheetViews>
    <sheetView topLeftCell="A32" workbookViewId="0">
      <selection activeCell="E37" sqref="E37:E52"/>
    </sheetView>
  </sheetViews>
  <sheetFormatPr defaultColWidth="9" defaultRowHeight="12.75"/>
  <cols>
    <col min="1" max="1" width="19.1" style="1513" customWidth="1"/>
    <col min="2" max="3" width="14.1" style="1513" customWidth="1"/>
    <col min="4" max="4" width="24.1" style="1513" customWidth="1"/>
    <col min="5" max="7" width="14.1" style="1513" customWidth="1"/>
    <col min="8" max="12" width="11" style="1513" customWidth="1"/>
    <col min="13" max="16384" width="9" style="1513"/>
  </cols>
  <sheetData>
    <row r="1" spans="1:7">
      <c r="A1" s="1713" t="s">
        <v>43</v>
      </c>
      <c r="B1" s="1713" t="s">
        <v>44</v>
      </c>
      <c r="C1" s="1713" t="s">
        <v>45</v>
      </c>
      <c r="D1" s="1713" t="s">
        <v>46</v>
      </c>
      <c r="E1" s="1713" t="s">
        <v>47</v>
      </c>
      <c r="F1" s="1713" t="s">
        <v>48</v>
      </c>
      <c r="G1" s="1713" t="s">
        <v>49</v>
      </c>
    </row>
    <row r="2" ht="24" spans="1:7">
      <c r="A2" s="1714" t="s">
        <v>50</v>
      </c>
      <c r="B2" s="1715">
        <f>基础信息!M3</f>
        <v>0</v>
      </c>
      <c r="C2" s="1715">
        <f>SUM(基础信息!C3:I3)</f>
        <v>187776.741193381</v>
      </c>
      <c r="D2" s="1716" t="s">
        <v>51</v>
      </c>
      <c r="E2" s="1717">
        <f>基础信息!B13</f>
        <v>43244</v>
      </c>
      <c r="F2" s="1717">
        <f>基础信息!C13</f>
        <v>43424</v>
      </c>
      <c r="G2" s="1717">
        <f>基础信息!D13</f>
        <v>43905</v>
      </c>
    </row>
    <row r="3" ht="24" spans="1:7">
      <c r="A3" s="1714" t="s">
        <v>52</v>
      </c>
      <c r="B3" s="1715">
        <f>基础信息!M4</f>
        <v>0</v>
      </c>
      <c r="C3" s="1715">
        <f>SUM(基础信息!C4:I4)</f>
        <v>193776.741193381</v>
      </c>
      <c r="D3" s="1716" t="s">
        <v>51</v>
      </c>
      <c r="E3" s="1717">
        <f>基础信息!B14</f>
        <v>43609</v>
      </c>
      <c r="F3" s="1717">
        <f>基础信息!C14</f>
        <v>43825</v>
      </c>
      <c r="G3" s="1717">
        <f>基础信息!D14</f>
        <v>44270</v>
      </c>
    </row>
    <row r="4" ht="24" spans="1:7">
      <c r="A4" s="1714" t="s">
        <v>53</v>
      </c>
      <c r="B4" s="1715">
        <f>基础信息!M5</f>
        <v>0</v>
      </c>
      <c r="C4" s="1715">
        <f>SUM(基础信息!C5:I5)</f>
        <v>26380</v>
      </c>
      <c r="D4" s="1716" t="s">
        <v>51</v>
      </c>
      <c r="E4" s="1717">
        <f>基础信息!B15</f>
        <v>43244</v>
      </c>
      <c r="F4" s="1717">
        <f>基础信息!C15</f>
        <v>43905</v>
      </c>
      <c r="G4" s="1717">
        <f>基础信息!D15</f>
        <v>43905</v>
      </c>
    </row>
    <row r="5" spans="1:7">
      <c r="A5" s="1714" t="s">
        <v>54</v>
      </c>
      <c r="B5" s="1715"/>
      <c r="C5" s="1715"/>
      <c r="D5" s="1716"/>
      <c r="E5" s="1717"/>
      <c r="F5" s="1717"/>
      <c r="G5" s="1717"/>
    </row>
    <row r="6" spans="1:7">
      <c r="A6" s="1714" t="s">
        <v>55</v>
      </c>
      <c r="B6" s="1715">
        <f>SUM(B2:B5)</f>
        <v>0</v>
      </c>
      <c r="C6" s="1715">
        <f>SUM(C2:C5)</f>
        <v>407933.482386762</v>
      </c>
      <c r="D6" s="1718"/>
      <c r="E6" s="1714"/>
      <c r="F6" s="1714"/>
      <c r="G6" s="1714"/>
    </row>
    <row r="8" spans="1:6">
      <c r="A8" s="1719"/>
      <c r="B8" s="1720" t="s">
        <v>56</v>
      </c>
      <c r="C8" s="1720" t="s">
        <v>57</v>
      </c>
      <c r="D8" s="1720" t="s">
        <v>58</v>
      </c>
      <c r="E8" s="1720" t="s">
        <v>59</v>
      </c>
      <c r="F8" s="1719" t="s">
        <v>2</v>
      </c>
    </row>
    <row r="9" spans="1:6">
      <c r="A9" s="1721" t="s">
        <v>60</v>
      </c>
      <c r="B9" s="1722">
        <f t="shared" ref="B9:F9" si="0">SUM(B10:B13)</f>
        <v>188353.482386762</v>
      </c>
      <c r="C9" s="1722">
        <f t="shared" si="0"/>
        <v>194353.482386762</v>
      </c>
      <c r="D9" s="1722">
        <f t="shared" si="0"/>
        <v>26380</v>
      </c>
      <c r="E9" s="1722">
        <f t="shared" si="0"/>
        <v>0</v>
      </c>
      <c r="F9" s="1722">
        <f t="shared" si="0"/>
        <v>409086.964773524</v>
      </c>
    </row>
    <row r="10" spans="1:6">
      <c r="A10" s="1723" t="s">
        <v>61</v>
      </c>
      <c r="B10" s="1722">
        <f>C2</f>
        <v>187776.741193381</v>
      </c>
      <c r="C10" s="1724">
        <f>C3</f>
        <v>193776.741193381</v>
      </c>
      <c r="D10" s="1724">
        <f>C4</f>
        <v>26380</v>
      </c>
      <c r="E10" s="1724"/>
      <c r="F10" s="1725">
        <f t="shared" ref="F10:F13" si="1">SUM(B10:E10)</f>
        <v>407933.482386762</v>
      </c>
    </row>
    <row r="11" spans="1:6">
      <c r="A11" s="1723" t="s">
        <v>62</v>
      </c>
      <c r="B11" s="1722">
        <f>基础信息!J3</f>
        <v>0</v>
      </c>
      <c r="C11" s="1724">
        <f>基础信息!J4</f>
        <v>0</v>
      </c>
      <c r="D11" s="1724">
        <f>基础信息!J5</f>
        <v>0</v>
      </c>
      <c r="E11" s="1724"/>
      <c r="F11" s="1725">
        <f t="shared" si="1"/>
        <v>0</v>
      </c>
    </row>
    <row r="12" spans="1:6">
      <c r="A12" s="1723" t="s">
        <v>63</v>
      </c>
      <c r="B12" s="1724">
        <f>基础信息!K3+基础信息!L3</f>
        <v>0</v>
      </c>
      <c r="C12" s="1724">
        <f>基础信息!K4</f>
        <v>0</v>
      </c>
      <c r="D12" s="1724">
        <f>基础信息!K5</f>
        <v>0</v>
      </c>
      <c r="E12" s="1724"/>
      <c r="F12" s="1725">
        <f t="shared" si="1"/>
        <v>0</v>
      </c>
    </row>
    <row r="13" spans="1:6">
      <c r="A13" s="1723" t="s">
        <v>64</v>
      </c>
      <c r="B13" s="1722">
        <f>基础信息!B3</f>
        <v>576.741193381094</v>
      </c>
      <c r="C13" s="1724">
        <f>基础信息!B4</f>
        <v>576.741193381094</v>
      </c>
      <c r="D13" s="1724">
        <f>基础信息!B5</f>
        <v>0</v>
      </c>
      <c r="E13" s="1724"/>
      <c r="F13" s="1725">
        <f t="shared" si="1"/>
        <v>1153.48238676219</v>
      </c>
    </row>
    <row r="14" spans="1:6">
      <c r="A14" s="1721" t="s">
        <v>65</v>
      </c>
      <c r="B14" s="1722" t="e">
        <f t="shared" ref="B14:F14" si="2">SUM(B15:B18)</f>
        <v>#REF!</v>
      </c>
      <c r="C14" s="1722" t="e">
        <f t="shared" si="2"/>
        <v>#REF!</v>
      </c>
      <c r="D14" s="1722" t="e">
        <f t="shared" si="2"/>
        <v>#REF!</v>
      </c>
      <c r="E14" s="1722" t="e">
        <f t="shared" si="2"/>
        <v>#REF!</v>
      </c>
      <c r="F14" s="1722" t="e">
        <f t="shared" si="2"/>
        <v>#REF!</v>
      </c>
    </row>
    <row r="15" spans="1:6">
      <c r="A15" s="1723" t="s">
        <v>61</v>
      </c>
      <c r="B15" s="1722" t="e">
        <f>经济指标!C27-B16-B17-B18</f>
        <v>#REF!</v>
      </c>
      <c r="C15" s="1722" t="e">
        <f>经济指标!D27-C16-C17-C18</f>
        <v>#REF!</v>
      </c>
      <c r="D15" s="1722" t="e">
        <f>经济指标!E27-D16-D17-D18</f>
        <v>#REF!</v>
      </c>
      <c r="E15" s="1722" t="e">
        <f>经济指标!F27+经济指标!G27+经济指标!H27-SUM(E16:E18)</f>
        <v>#REF!</v>
      </c>
      <c r="F15" s="1725" t="e">
        <f t="shared" ref="F15:F18" si="3">SUM(B15:E15)</f>
        <v>#REF!</v>
      </c>
    </row>
    <row r="16" spans="1:6">
      <c r="A16" s="1723" t="s">
        <v>62</v>
      </c>
      <c r="B16" s="1724"/>
      <c r="C16" s="1722" t="e">
        <f>SUM(销售计划!#REF!)</f>
        <v>#REF!</v>
      </c>
      <c r="D16" s="1722" t="e">
        <f>SUM(销售计划!#REF!)+SUM(销售计划!#REF!)</f>
        <v>#REF!</v>
      </c>
      <c r="E16" s="1722" t="e">
        <f t="shared" ref="E16:E18" si="4">F11-SUM(B16:D16)</f>
        <v>#REF!</v>
      </c>
      <c r="F16" s="1725" t="e">
        <f t="shared" si="3"/>
        <v>#REF!</v>
      </c>
    </row>
    <row r="17" spans="1:6">
      <c r="A17" s="1723" t="s">
        <v>63</v>
      </c>
      <c r="B17" s="1724" t="e">
        <f>SUM(销售计划!#REF!)</f>
        <v>#REF!</v>
      </c>
      <c r="C17" s="1724" t="e">
        <f>SUM(销售计划!#REF!)+SUM(销售计划!#REF!)</f>
        <v>#REF!</v>
      </c>
      <c r="D17" s="1724" t="e">
        <f>SUM(销售计划!#REF!)</f>
        <v>#REF!</v>
      </c>
      <c r="E17" s="1724" t="e">
        <f t="shared" si="4"/>
        <v>#REF!</v>
      </c>
      <c r="F17" s="1725" t="e">
        <f t="shared" si="3"/>
        <v>#REF!</v>
      </c>
    </row>
    <row r="18" spans="1:6">
      <c r="A18" s="1723" t="s">
        <v>64</v>
      </c>
      <c r="B18" s="1724"/>
      <c r="C18" s="1722">
        <f>SUM(销售计划!J69:M69)</f>
        <v>0</v>
      </c>
      <c r="D18" s="1722">
        <f>SUM(销售计划!N69:Q69)+SUM(销售计划!N87:Q87)</f>
        <v>144.185298345273</v>
      </c>
      <c r="E18" s="1724">
        <f t="shared" si="4"/>
        <v>1009.29708841691</v>
      </c>
      <c r="F18" s="1725">
        <f t="shared" si="3"/>
        <v>1153.48238676219</v>
      </c>
    </row>
    <row r="19" spans="1:6">
      <c r="A19" s="1721" t="s">
        <v>66</v>
      </c>
      <c r="B19" s="1722" t="e">
        <f t="shared" ref="B19:F19" si="5">SUM(B20:B23)</f>
        <v>#REF!</v>
      </c>
      <c r="C19" s="1722" t="e">
        <f t="shared" si="5"/>
        <v>#REF!</v>
      </c>
      <c r="D19" s="1722" t="e">
        <f t="shared" si="5"/>
        <v>#REF!</v>
      </c>
      <c r="E19" s="1722" t="e">
        <f t="shared" si="5"/>
        <v>#REF!</v>
      </c>
      <c r="F19" s="1722" t="e">
        <f t="shared" si="5"/>
        <v>#REF!</v>
      </c>
    </row>
    <row r="20" spans="1:6">
      <c r="A20" s="1723" t="s">
        <v>61</v>
      </c>
      <c r="B20" s="1722" t="e">
        <f>经济指标!C28-B21-B22-B23</f>
        <v>#REF!</v>
      </c>
      <c r="C20" s="1722" t="e">
        <f>经济指标!D28-C21-C22-C23</f>
        <v>#REF!</v>
      </c>
      <c r="D20" s="1722" t="e">
        <f>经济指标!E28-D21-D22-D23</f>
        <v>#REF!</v>
      </c>
      <c r="E20" s="1722" t="e">
        <f>经济指标!F28+经济指标!G28+经济指标!H28-E21-E22-E23</f>
        <v>#REF!</v>
      </c>
      <c r="F20" s="1725" t="e">
        <f t="shared" ref="F20:F23" si="6">SUM(B20:E20)</f>
        <v>#REF!</v>
      </c>
    </row>
    <row r="21" spans="1:6">
      <c r="A21" s="1723" t="s">
        <v>62</v>
      </c>
      <c r="B21" s="1724"/>
      <c r="C21" s="1722" t="e">
        <f>SUM(销售计划!#REF!)</f>
        <v>#REF!</v>
      </c>
      <c r="D21" s="1722" t="e">
        <f>SUM(销售计划!#REF!)+SUM(销售计划!#REF!)</f>
        <v>#REF!</v>
      </c>
      <c r="E21" s="1722" t="e">
        <f>经济指标!#REF!-SUM(B21:D21)</f>
        <v>#REF!</v>
      </c>
      <c r="F21" s="1725" t="e">
        <f t="shared" si="6"/>
        <v>#REF!</v>
      </c>
    </row>
    <row r="22" spans="1:6">
      <c r="A22" s="1723" t="s">
        <v>63</v>
      </c>
      <c r="B22" s="1724" t="e">
        <f>SUM(销售计划!#REF!)</f>
        <v>#REF!</v>
      </c>
      <c r="C22" s="1724" t="e">
        <f>SUM(销售计划!#REF!)+SUM(销售计划!#REF!)</f>
        <v>#REF!</v>
      </c>
      <c r="D22" s="1724" t="e">
        <f>SUM(销售计划!#REF!)</f>
        <v>#REF!</v>
      </c>
      <c r="E22" s="1724" t="e">
        <f>经济指标!#REF!+经济指标!#REF!-SUM(B22:D22)</f>
        <v>#REF!</v>
      </c>
      <c r="F22" s="1725" t="e">
        <f t="shared" si="6"/>
        <v>#REF!</v>
      </c>
    </row>
    <row r="23" spans="1:6">
      <c r="A23" s="1723" t="s">
        <v>64</v>
      </c>
      <c r="B23" s="1724"/>
      <c r="C23" s="1722">
        <f>SUM(销售计划!J71:M71)</f>
        <v>0</v>
      </c>
      <c r="D23" s="1722">
        <f>SUM(销售计划!N71:Q71)+SUM(销售计划!N89:Q89)</f>
        <v>779.379991055532</v>
      </c>
      <c r="E23" s="1724">
        <f>经济指标!G41-SUM(B23:D23)</f>
        <v>5455.65993738873</v>
      </c>
      <c r="F23" s="1725">
        <f t="shared" si="6"/>
        <v>6235.03992844426</v>
      </c>
    </row>
    <row r="24" spans="1:6">
      <c r="A24" s="1721" t="s">
        <v>67</v>
      </c>
      <c r="B24" s="1722" t="e">
        <f t="shared" ref="B24:F28" si="7">B19/B14*10000</f>
        <v>#REF!</v>
      </c>
      <c r="C24" s="1722" t="e">
        <f t="shared" si="7"/>
        <v>#REF!</v>
      </c>
      <c r="D24" s="1722" t="e">
        <f t="shared" si="7"/>
        <v>#REF!</v>
      </c>
      <c r="E24" s="1722" t="e">
        <f>E19/E14*10000</f>
        <v>#REF!</v>
      </c>
      <c r="F24" s="1722" t="e">
        <f t="shared" si="7"/>
        <v>#REF!</v>
      </c>
    </row>
    <row r="25" spans="1:6">
      <c r="A25" s="1723" t="s">
        <v>61</v>
      </c>
      <c r="B25" s="1722" t="e">
        <f t="shared" si="7"/>
        <v>#REF!</v>
      </c>
      <c r="C25" s="1722" t="e">
        <f t="shared" si="7"/>
        <v>#REF!</v>
      </c>
      <c r="D25" s="1722" t="e">
        <f t="shared" si="7"/>
        <v>#REF!</v>
      </c>
      <c r="E25" s="1722" t="e">
        <f>E20/E15*10000</f>
        <v>#REF!</v>
      </c>
      <c r="F25" s="1722" t="e">
        <f t="shared" si="7"/>
        <v>#REF!</v>
      </c>
    </row>
    <row r="26" spans="1:6">
      <c r="A26" s="1723" t="s">
        <v>62</v>
      </c>
      <c r="B26" s="1722"/>
      <c r="C26" s="1722" t="e">
        <f t="shared" si="7"/>
        <v>#REF!</v>
      </c>
      <c r="D26" s="1722" t="e">
        <f t="shared" si="7"/>
        <v>#REF!</v>
      </c>
      <c r="E26" s="1722" t="e">
        <f t="shared" si="7"/>
        <v>#REF!</v>
      </c>
      <c r="F26" s="1722" t="e">
        <f t="shared" si="7"/>
        <v>#REF!</v>
      </c>
    </row>
    <row r="27" spans="1:6">
      <c r="A27" s="1723" t="s">
        <v>63</v>
      </c>
      <c r="B27" s="1722" t="e">
        <f t="shared" si="7"/>
        <v>#REF!</v>
      </c>
      <c r="C27" s="1722" t="e">
        <f t="shared" si="7"/>
        <v>#REF!</v>
      </c>
      <c r="D27" s="1722" t="e">
        <f t="shared" si="7"/>
        <v>#REF!</v>
      </c>
      <c r="E27" s="1722" t="e">
        <f t="shared" si="7"/>
        <v>#REF!</v>
      </c>
      <c r="F27" s="1722" t="e">
        <f t="shared" si="7"/>
        <v>#REF!</v>
      </c>
    </row>
    <row r="28" spans="1:6">
      <c r="A28" s="1723" t="s">
        <v>64</v>
      </c>
      <c r="B28" s="1722"/>
      <c r="C28" s="1722" t="e">
        <f t="shared" si="7"/>
        <v>#DIV/0!</v>
      </c>
      <c r="D28" s="1722">
        <f t="shared" si="7"/>
        <v>54054.0540540541</v>
      </c>
      <c r="E28" s="1722">
        <f t="shared" si="7"/>
        <v>54054.0540540541</v>
      </c>
      <c r="F28" s="1722">
        <f t="shared" si="7"/>
        <v>54054.0540540541</v>
      </c>
    </row>
    <row r="29" spans="1:7">
      <c r="A29" s="1721" t="s">
        <v>68</v>
      </c>
      <c r="B29" s="1722" t="e">
        <f t="shared" ref="B29:F29" si="8">B19</f>
        <v>#REF!</v>
      </c>
      <c r="C29" s="1722" t="e">
        <f t="shared" si="8"/>
        <v>#REF!</v>
      </c>
      <c r="D29" s="1722" t="e">
        <f t="shared" si="8"/>
        <v>#REF!</v>
      </c>
      <c r="E29" s="1722" t="e">
        <f t="shared" si="8"/>
        <v>#REF!</v>
      </c>
      <c r="F29" s="1722" t="e">
        <f t="shared" si="8"/>
        <v>#REF!</v>
      </c>
      <c r="G29" s="1594" t="e">
        <f>F29-经济指标!J28</f>
        <v>#REF!</v>
      </c>
    </row>
    <row r="30" spans="1:6">
      <c r="A30" s="1721" t="s">
        <v>69</v>
      </c>
      <c r="B30" s="1722">
        <f>经济指标!C35</f>
        <v>0</v>
      </c>
      <c r="C30" s="1722">
        <f>经济指标!D35</f>
        <v>0</v>
      </c>
      <c r="D30" s="1722">
        <f>经济指标!E35</f>
        <v>0</v>
      </c>
      <c r="E30" s="1722">
        <f>经济指标!F35+经济指标!G35+经济指标!H35</f>
        <v>231211.303148186</v>
      </c>
      <c r="F30" s="1725">
        <f t="shared" ref="F30:F32" si="9">SUM(B30:E30)</f>
        <v>231211.303148186</v>
      </c>
    </row>
    <row r="31" spans="1:6">
      <c r="A31" s="1721" t="s">
        <v>70</v>
      </c>
      <c r="B31" s="1722">
        <f>经济指标!C31</f>
        <v>0</v>
      </c>
      <c r="C31" s="1722">
        <f>经济指标!D31</f>
        <v>0</v>
      </c>
      <c r="D31" s="1722">
        <f>经济指标!E31</f>
        <v>4049.30316162872</v>
      </c>
      <c r="E31" s="1722">
        <f>经济指标!F31+经济指标!G31+经济指标!H31</f>
        <v>30030.1604081672</v>
      </c>
      <c r="F31" s="1725">
        <f t="shared" si="9"/>
        <v>34079.4635697959</v>
      </c>
    </row>
    <row r="32" spans="1:6">
      <c r="A32" s="1721" t="s">
        <v>71</v>
      </c>
      <c r="B32" s="1722">
        <f>经济指标!C36</f>
        <v>0</v>
      </c>
      <c r="C32" s="1722">
        <f>经济指标!D36</f>
        <v>0</v>
      </c>
      <c r="D32" s="1722">
        <f>经济指标!E36</f>
        <v>-1323.46844395785</v>
      </c>
      <c r="E32" s="1722">
        <f>经济指标!F36+经济指标!G36+经济指标!H36</f>
        <v>35402.9320137538</v>
      </c>
      <c r="F32" s="1725">
        <f t="shared" si="9"/>
        <v>34079.463569796</v>
      </c>
    </row>
    <row r="33" spans="1:6">
      <c r="A33" s="1721" t="s">
        <v>72</v>
      </c>
      <c r="B33" s="1726" t="e">
        <f t="shared" ref="B33:F33" si="10">B31/B29</f>
        <v>#REF!</v>
      </c>
      <c r="C33" s="1726" t="e">
        <f t="shared" si="10"/>
        <v>#REF!</v>
      </c>
      <c r="D33" s="1726" t="e">
        <f t="shared" si="10"/>
        <v>#REF!</v>
      </c>
      <c r="E33" s="1726" t="e">
        <f t="shared" si="10"/>
        <v>#REF!</v>
      </c>
      <c r="F33" s="1726" t="e">
        <f t="shared" si="10"/>
        <v>#REF!</v>
      </c>
    </row>
    <row r="36" spans="1:5">
      <c r="A36" s="1727" t="s">
        <v>73</v>
      </c>
      <c r="B36" s="1728"/>
      <c r="D36" s="1727" t="s">
        <v>74</v>
      </c>
      <c r="E36" s="1728"/>
    </row>
    <row r="37" spans="1:12">
      <c r="A37" s="1729" t="s">
        <v>75</v>
      </c>
      <c r="B37" s="1730">
        <f>经济指标!J28</f>
        <v>231211.303148186</v>
      </c>
      <c r="D37" s="1729" t="s">
        <v>76</v>
      </c>
      <c r="E37" s="1726">
        <f>经济指标!D8</f>
        <v>0.384601416375824</v>
      </c>
      <c r="G37" s="1731" t="s">
        <v>77</v>
      </c>
      <c r="H37" s="1732" t="s">
        <v>78</v>
      </c>
      <c r="I37" s="1732" t="s">
        <v>79</v>
      </c>
      <c r="J37" s="1732" t="s">
        <v>80</v>
      </c>
      <c r="K37" s="1731" t="s">
        <v>81</v>
      </c>
      <c r="L37" s="1732" t="s">
        <v>82</v>
      </c>
    </row>
    <row r="38" ht="24" spans="1:12">
      <c r="A38" s="1729" t="s">
        <v>83</v>
      </c>
      <c r="B38" s="1730">
        <f>经济指标!H45</f>
        <v>158974.903960703</v>
      </c>
      <c r="D38" s="1729" t="s">
        <v>84</v>
      </c>
      <c r="E38" s="1730">
        <f>B39</f>
        <v>56794.4790569208</v>
      </c>
      <c r="G38" s="1733" t="s">
        <v>85</v>
      </c>
      <c r="H38" s="1734">
        <v>460</v>
      </c>
      <c r="I38" s="1734">
        <v>1030</v>
      </c>
      <c r="J38" s="1734">
        <v>1130</v>
      </c>
      <c r="K38" s="1746">
        <v>1220</v>
      </c>
      <c r="L38" s="1734">
        <v>1288</v>
      </c>
    </row>
    <row r="39" spans="1:12">
      <c r="A39" s="1729" t="s">
        <v>86</v>
      </c>
      <c r="B39" s="1730">
        <f>经济指标!D17</f>
        <v>56794.4790569208</v>
      </c>
      <c r="D39" s="1729" t="s">
        <v>87</v>
      </c>
      <c r="E39" s="1735">
        <f>B40</f>
        <v>42125</v>
      </c>
      <c r="G39" s="1733" t="s">
        <v>88</v>
      </c>
      <c r="H39" s="1736">
        <v>104544.0199799</v>
      </c>
      <c r="I39" s="1736">
        <v>234087.696911515</v>
      </c>
      <c r="J39" s="1736">
        <v>256814.657776711</v>
      </c>
      <c r="K39" s="1747">
        <v>277268.922555387</v>
      </c>
      <c r="L39" s="1736">
        <v>292723.25594372</v>
      </c>
    </row>
    <row r="40" spans="1:12">
      <c r="A40" s="1729" t="s">
        <v>89</v>
      </c>
      <c r="B40" s="1735">
        <v>42125</v>
      </c>
      <c r="D40" s="1729" t="s">
        <v>90</v>
      </c>
      <c r="E40" s="1737">
        <v>7</v>
      </c>
      <c r="G40" s="1733" t="s">
        <v>91</v>
      </c>
      <c r="H40" s="1736">
        <v>2464.27339291875</v>
      </c>
      <c r="I40" s="1736">
        <v>5517.82955370937</v>
      </c>
      <c r="J40" s="1736">
        <v>6053.54116086562</v>
      </c>
      <c r="K40" s="1747">
        <v>6535.68160730625</v>
      </c>
      <c r="L40" s="1736">
        <v>6899.9655001725</v>
      </c>
    </row>
    <row r="41" spans="1:12">
      <c r="A41" s="1729" t="s">
        <v>92</v>
      </c>
      <c r="B41" s="1737" t="s">
        <v>93</v>
      </c>
      <c r="D41" s="1729" t="s">
        <v>94</v>
      </c>
      <c r="E41" s="1738" t="e">
        <f>经济指标!I5/Sheet5!F25</f>
        <v>#REF!</v>
      </c>
      <c r="G41" s="1733" t="s">
        <v>95</v>
      </c>
      <c r="H41" s="1739">
        <f t="shared" ref="H41:L41" si="11">(H38-$H$38)/$H$38</f>
        <v>0</v>
      </c>
      <c r="I41" s="1739">
        <f t="shared" si="11"/>
        <v>1.23913043478261</v>
      </c>
      <c r="J41" s="1739">
        <f t="shared" si="11"/>
        <v>1.45652173913043</v>
      </c>
      <c r="K41" s="1739">
        <f t="shared" si="11"/>
        <v>1.65217391304348</v>
      </c>
      <c r="L41" s="1739">
        <f t="shared" si="11"/>
        <v>1.8</v>
      </c>
    </row>
    <row r="42" spans="1:12">
      <c r="A42" s="1729" t="s">
        <v>96</v>
      </c>
      <c r="B42" s="1730">
        <f>B38+创造利润!B24</f>
        <v>174404.183877928</v>
      </c>
      <c r="D42" s="1729" t="s">
        <v>97</v>
      </c>
      <c r="E42" s="1738">
        <v>1</v>
      </c>
      <c r="G42" s="1733" t="s">
        <v>98</v>
      </c>
      <c r="H42" s="1740">
        <v>0.746231773294678</v>
      </c>
      <c r="I42" s="1740">
        <v>0.271400254110659</v>
      </c>
      <c r="J42" s="1740">
        <v>0.231591950380358</v>
      </c>
      <c r="K42" s="1740">
        <v>0.201207772131009</v>
      </c>
      <c r="L42" s="1740">
        <v>0.179302092652597</v>
      </c>
    </row>
    <row r="43" ht="24" spans="1:12">
      <c r="A43" s="1729" t="s">
        <v>99</v>
      </c>
      <c r="B43" s="1730">
        <f>经济指标!J36</f>
        <v>34079.463569796</v>
      </c>
      <c r="D43" s="1729" t="s">
        <v>100</v>
      </c>
      <c r="E43" s="1738">
        <v>0.08</v>
      </c>
      <c r="G43" s="1733" t="s">
        <v>101</v>
      </c>
      <c r="H43" s="1740">
        <v>0.261406836151367</v>
      </c>
      <c r="I43" s="1740">
        <v>0.165717347395033</v>
      </c>
      <c r="J43" s="1740">
        <v>0.146154168095101</v>
      </c>
      <c r="K43" s="1740">
        <v>0.128194081278223</v>
      </c>
      <c r="L43" s="1740">
        <v>0.112403567091721</v>
      </c>
    </row>
    <row r="44" spans="1:5">
      <c r="A44" s="1729" t="s">
        <v>102</v>
      </c>
      <c r="B44" s="1741">
        <f>经济指标!D8</f>
        <v>0.384601416375824</v>
      </c>
      <c r="D44" s="1729" t="s">
        <v>103</v>
      </c>
      <c r="E44" s="1730" t="e">
        <f>#REF!</f>
        <v>#REF!</v>
      </c>
    </row>
    <row r="45" spans="1:5">
      <c r="A45" s="1729" t="s">
        <v>104</v>
      </c>
      <c r="B45" s="1741">
        <f>经济指标!D10</f>
        <v>0.147395318073849</v>
      </c>
      <c r="D45" s="1729" t="s">
        <v>105</v>
      </c>
      <c r="E45" s="1742"/>
    </row>
    <row r="46" spans="1:5">
      <c r="A46" s="1729" t="s">
        <v>106</v>
      </c>
      <c r="B46" s="1726" t="e">
        <f>经济指标!C33</f>
        <v>#DIV/0!</v>
      </c>
      <c r="D46" s="1729" t="s">
        <v>107</v>
      </c>
      <c r="E46" s="1730" t="e">
        <f>#REF!/(1-5.66%-3.7%)</f>
        <v>#REF!</v>
      </c>
    </row>
    <row r="47" spans="4:5">
      <c r="D47" s="1729" t="s">
        <v>108</v>
      </c>
      <c r="E47" s="1730" t="e">
        <f>#REF!/(1-5.66%-3.7%)</f>
        <v>#REF!</v>
      </c>
    </row>
    <row r="48" spans="4:5">
      <c r="D48" s="1729" t="s">
        <v>109</v>
      </c>
      <c r="E48" s="1730" t="e">
        <f>#REF!/(1-5.66%-3.7%)</f>
        <v>#REF!</v>
      </c>
    </row>
    <row r="49" spans="4:5">
      <c r="D49" s="1729" t="s">
        <v>110</v>
      </c>
      <c r="E49" s="1743">
        <f>E50</f>
        <v>12173.9130434783</v>
      </c>
    </row>
    <row r="50" spans="4:5">
      <c r="D50" s="1729" t="s">
        <v>111</v>
      </c>
      <c r="E50" s="1730">
        <f>经济指标!G9</f>
        <v>12173.9130434783</v>
      </c>
    </row>
    <row r="51" spans="4:5">
      <c r="D51" s="1729" t="s">
        <v>112</v>
      </c>
      <c r="E51" s="1730" t="e">
        <f>经济指标!#REF!</f>
        <v>#REF!</v>
      </c>
    </row>
    <row r="52" spans="4:5">
      <c r="D52" s="1729" t="s">
        <v>109</v>
      </c>
      <c r="E52" s="1730">
        <f>经济指标!G17</f>
        <v>0</v>
      </c>
    </row>
    <row r="55" spans="2:27">
      <c r="B55" s="1513" t="s">
        <v>113</v>
      </c>
      <c r="C55" s="1513" t="s">
        <v>114</v>
      </c>
      <c r="D55" s="1513" t="s">
        <v>115</v>
      </c>
      <c r="E55" s="1513" t="s">
        <v>116</v>
      </c>
      <c r="F55" s="1513" t="s">
        <v>117</v>
      </c>
      <c r="G55" s="1513" t="s">
        <v>118</v>
      </c>
      <c r="H55" s="1513" t="s">
        <v>119</v>
      </c>
      <c r="I55" s="1513" t="s">
        <v>120</v>
      </c>
      <c r="J55" s="1513" t="s">
        <v>121</v>
      </c>
      <c r="K55" s="1513" t="s">
        <v>122</v>
      </c>
      <c r="L55" s="1513" t="s">
        <v>123</v>
      </c>
      <c r="M55" s="1513" t="s">
        <v>124</v>
      </c>
      <c r="N55" s="1513" t="s">
        <v>125</v>
      </c>
      <c r="O55" s="1513" t="s">
        <v>126</v>
      </c>
      <c r="P55" s="1513" t="s">
        <v>127</v>
      </c>
      <c r="Q55" s="1513" t="s">
        <v>128</v>
      </c>
      <c r="R55" s="1513" t="s">
        <v>129</v>
      </c>
      <c r="S55" s="1513" t="s">
        <v>130</v>
      </c>
      <c r="T55" s="1513" t="s">
        <v>131</v>
      </c>
      <c r="U55" s="1513" t="s">
        <v>132</v>
      </c>
      <c r="V55" s="1513" t="s">
        <v>133</v>
      </c>
      <c r="W55" s="1513" t="s">
        <v>134</v>
      </c>
      <c r="X55" s="1513" t="s">
        <v>135</v>
      </c>
      <c r="Y55" s="1513" t="s">
        <v>136</v>
      </c>
      <c r="Z55" s="1513" t="s">
        <v>137</v>
      </c>
      <c r="AA55" s="1513" t="s">
        <v>138</v>
      </c>
    </row>
    <row r="56" spans="2:27">
      <c r="B56" s="1454" t="s">
        <v>113</v>
      </c>
      <c r="C56" s="1454" t="s">
        <v>114</v>
      </c>
      <c r="D56" s="1454" t="s">
        <v>115</v>
      </c>
      <c r="E56" s="1454" t="s">
        <v>116</v>
      </c>
      <c r="F56" s="1454" t="s">
        <v>117</v>
      </c>
      <c r="G56" s="1454" t="s">
        <v>118</v>
      </c>
      <c r="H56" s="1454" t="s">
        <v>119</v>
      </c>
      <c r="I56" s="1454" t="s">
        <v>120</v>
      </c>
      <c r="J56" s="1454" t="s">
        <v>121</v>
      </c>
      <c r="K56" s="1454" t="s">
        <v>122</v>
      </c>
      <c r="L56" s="1454" t="s">
        <v>123</v>
      </c>
      <c r="M56" s="1454" t="s">
        <v>124</v>
      </c>
      <c r="N56" s="1454" t="s">
        <v>125</v>
      </c>
      <c r="O56" s="1454" t="s">
        <v>126</v>
      </c>
      <c r="P56" s="1454" t="s">
        <v>127</v>
      </c>
      <c r="Q56" s="1454" t="s">
        <v>128</v>
      </c>
      <c r="R56" s="1454" t="s">
        <v>129</v>
      </c>
      <c r="S56" s="1454" t="s">
        <v>130</v>
      </c>
      <c r="T56" s="1454" t="s">
        <v>131</v>
      </c>
      <c r="U56" s="1454" t="s">
        <v>132</v>
      </c>
      <c r="V56" s="1454" t="s">
        <v>133</v>
      </c>
      <c r="W56" s="1454" t="s">
        <v>134</v>
      </c>
      <c r="X56" s="1454" t="s">
        <v>135</v>
      </c>
      <c r="Y56" s="1454" t="s">
        <v>136</v>
      </c>
      <c r="Z56" s="1454" t="s">
        <v>137</v>
      </c>
      <c r="AA56" s="1454" t="s">
        <v>138</v>
      </c>
    </row>
    <row r="57" spans="2:27">
      <c r="B57" s="1513" t="e">
        <f>现金流量!#REF!</f>
        <v>#REF!</v>
      </c>
      <c r="C57" s="1513" t="e">
        <f>现金流量!#REF!</f>
        <v>#REF!</v>
      </c>
      <c r="D57" s="1513">
        <f>现金流量!C26</f>
        <v>0</v>
      </c>
      <c r="E57" s="1513">
        <f>现金流量!D26</f>
        <v>0</v>
      </c>
      <c r="F57" s="1513">
        <f>现金流量!E26</f>
        <v>0</v>
      </c>
      <c r="G57" s="1513">
        <f>现金流量!F26</f>
        <v>0</v>
      </c>
      <c r="H57" s="1513">
        <f>现金流量!G26</f>
        <v>0</v>
      </c>
      <c r="I57" s="1513">
        <f>现金流量!H26</f>
        <v>0</v>
      </c>
      <c r="J57" s="1513">
        <f>现金流量!I26</f>
        <v>0</v>
      </c>
      <c r="K57" s="1513">
        <f>现金流量!J26</f>
        <v>0</v>
      </c>
      <c r="L57" s="1513">
        <f>现金流量!K26</f>
        <v>0</v>
      </c>
      <c r="M57" s="1513">
        <f>现金流量!L26</f>
        <v>-45472.5766551814</v>
      </c>
      <c r="N57" s="1513">
        <f>现金流量!M26</f>
        <v>-47442.2145675057</v>
      </c>
      <c r="O57" s="1513">
        <f>现金流量!N26</f>
        <v>-50880.2149279406</v>
      </c>
      <c r="P57" s="1513">
        <f>现金流量!O26</f>
        <v>-56794.4790569208</v>
      </c>
      <c r="Q57" s="1513">
        <f>现金流量!P26</f>
        <v>-42610.6916695205</v>
      </c>
      <c r="R57" s="1513">
        <f>现金流量!Q26</f>
        <v>-26409.8710186809</v>
      </c>
      <c r="S57" s="1513">
        <f>现金流量!R26</f>
        <v>-14933.7377799405</v>
      </c>
      <c r="T57" s="1513">
        <f>现金流量!S26</f>
        <v>-3747.35876173854</v>
      </c>
      <c r="U57" s="1513">
        <f>现金流量!T26</f>
        <v>8726.96210619238</v>
      </c>
      <c r="V57" s="1513">
        <f>现金流量!U26</f>
        <v>20819.9992927107</v>
      </c>
      <c r="W57" s="1513">
        <f>现金流量!V26</f>
        <v>36703.677691372</v>
      </c>
      <c r="X57" s="1513">
        <f>现金流量!W26</f>
        <v>69230.282099951</v>
      </c>
      <c r="Y57" s="1513">
        <f>现金流量!X26</f>
        <v>71741.1054497024</v>
      </c>
      <c r="Z57" s="1513">
        <f>现金流量!Y26</f>
        <v>62114.6885819523</v>
      </c>
      <c r="AA57" s="1513">
        <f>现金流量!Z26</f>
        <v>53197.3945411637</v>
      </c>
    </row>
    <row r="58" spans="2:27">
      <c r="B58" s="1744" t="e">
        <f>B57/10000</f>
        <v>#REF!</v>
      </c>
      <c r="C58" s="1744" t="e">
        <f t="shared" ref="C58:AA58" si="12">C57/10000</f>
        <v>#REF!</v>
      </c>
      <c r="D58" s="1744">
        <f t="shared" si="12"/>
        <v>0</v>
      </c>
      <c r="E58" s="1744">
        <f t="shared" si="12"/>
        <v>0</v>
      </c>
      <c r="F58" s="1744">
        <f t="shared" si="12"/>
        <v>0</v>
      </c>
      <c r="G58" s="1744">
        <f t="shared" si="12"/>
        <v>0</v>
      </c>
      <c r="H58" s="1744">
        <f t="shared" si="12"/>
        <v>0</v>
      </c>
      <c r="I58" s="1744">
        <f t="shared" si="12"/>
        <v>0</v>
      </c>
      <c r="J58" s="1744">
        <f t="shared" si="12"/>
        <v>0</v>
      </c>
      <c r="K58" s="1744">
        <f t="shared" si="12"/>
        <v>0</v>
      </c>
      <c r="L58" s="1744">
        <f t="shared" si="12"/>
        <v>0</v>
      </c>
      <c r="M58" s="1744">
        <f t="shared" si="12"/>
        <v>-4.54725766551814</v>
      </c>
      <c r="N58" s="1744">
        <f t="shared" si="12"/>
        <v>-4.74422145675057</v>
      </c>
      <c r="O58" s="1744">
        <f t="shared" si="12"/>
        <v>-5.08802149279406</v>
      </c>
      <c r="P58" s="1744">
        <f t="shared" si="12"/>
        <v>-5.67944790569208</v>
      </c>
      <c r="Q58" s="1744">
        <f t="shared" si="12"/>
        <v>-4.26106916695205</v>
      </c>
      <c r="R58" s="1744">
        <f t="shared" si="12"/>
        <v>-2.64098710186809</v>
      </c>
      <c r="S58" s="1744">
        <f t="shared" si="12"/>
        <v>-1.49337377799405</v>
      </c>
      <c r="T58" s="1744">
        <f t="shared" si="12"/>
        <v>-0.374735876173854</v>
      </c>
      <c r="U58" s="1744">
        <f t="shared" si="12"/>
        <v>0.872696210619238</v>
      </c>
      <c r="V58" s="1744">
        <f t="shared" si="12"/>
        <v>2.08199992927107</v>
      </c>
      <c r="W58" s="1744">
        <f t="shared" si="12"/>
        <v>3.6703677691372</v>
      </c>
      <c r="X58" s="1744">
        <f t="shared" si="12"/>
        <v>6.9230282099951</v>
      </c>
      <c r="Y58" s="1744">
        <f t="shared" si="12"/>
        <v>7.17411054497024</v>
      </c>
      <c r="Z58" s="1744">
        <f t="shared" si="12"/>
        <v>6.21146885819523</v>
      </c>
      <c r="AA58" s="1744">
        <f t="shared" si="12"/>
        <v>5.31973945411637</v>
      </c>
    </row>
    <row r="59" spans="2:27">
      <c r="B59" s="1745" t="e">
        <f>B58</f>
        <v>#REF!</v>
      </c>
      <c r="C59" s="1745" t="e">
        <f>C58</f>
        <v>#REF!</v>
      </c>
      <c r="D59" s="1745">
        <f>D58</f>
        <v>0</v>
      </c>
      <c r="E59" s="1745">
        <f>E58</f>
        <v>0</v>
      </c>
      <c r="F59" s="1745">
        <f>F58+4-0.8</f>
        <v>3.2</v>
      </c>
      <c r="G59" s="1745">
        <f t="shared" ref="G59:N59" si="13">G58+4-0.8</f>
        <v>3.2</v>
      </c>
      <c r="H59" s="1745">
        <f t="shared" si="13"/>
        <v>3.2</v>
      </c>
      <c r="I59" s="1745">
        <f t="shared" si="13"/>
        <v>3.2</v>
      </c>
      <c r="J59" s="1745">
        <f t="shared" si="13"/>
        <v>3.2</v>
      </c>
      <c r="K59" s="1745">
        <f t="shared" si="13"/>
        <v>3.2</v>
      </c>
      <c r="L59" s="1745">
        <f t="shared" si="13"/>
        <v>3.2</v>
      </c>
      <c r="M59" s="1745">
        <f t="shared" si="13"/>
        <v>-1.34725766551814</v>
      </c>
      <c r="N59" s="1745">
        <f t="shared" si="13"/>
        <v>-1.54422145675057</v>
      </c>
      <c r="O59" s="1745">
        <f t="shared" ref="O59:T59" si="14">O58-0.8</f>
        <v>-5.88802149279406</v>
      </c>
      <c r="P59" s="1745">
        <f t="shared" si="14"/>
        <v>-6.47944790569208</v>
      </c>
      <c r="Q59" s="1745">
        <f t="shared" si="14"/>
        <v>-5.06106916695205</v>
      </c>
      <c r="R59" s="1745">
        <f t="shared" si="14"/>
        <v>-3.44098710186809</v>
      </c>
      <c r="S59" s="1745">
        <f t="shared" si="14"/>
        <v>-2.29337377799405</v>
      </c>
      <c r="T59" s="1745">
        <f t="shared" si="14"/>
        <v>-1.17473587617385</v>
      </c>
      <c r="U59" s="1745">
        <f>U58</f>
        <v>0.872696210619238</v>
      </c>
      <c r="V59" s="1745">
        <f t="shared" ref="V59:AA59" si="15">V58</f>
        <v>2.08199992927107</v>
      </c>
      <c r="W59" s="1745">
        <f t="shared" si="15"/>
        <v>3.6703677691372</v>
      </c>
      <c r="X59" s="1745">
        <f t="shared" si="15"/>
        <v>6.9230282099951</v>
      </c>
      <c r="Y59" s="1745">
        <f t="shared" si="15"/>
        <v>7.17411054497024</v>
      </c>
      <c r="Z59" s="1745">
        <f t="shared" si="15"/>
        <v>6.21146885819523</v>
      </c>
      <c r="AA59" s="1745">
        <f t="shared" si="15"/>
        <v>5.31973945411637</v>
      </c>
    </row>
  </sheetData>
  <mergeCells count="2">
    <mergeCell ref="A36:B36"/>
    <mergeCell ref="D36:E36"/>
  </mergeCells>
  <pageMargins left="0.699305555555556" right="0.699305555555556" top="0.75" bottom="0.75" header="0.3" footer="0.3"/>
  <pageSetup paperSize="9" orientation="portrait"/>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67"/>
  <sheetViews>
    <sheetView zoomScale="130" zoomScaleNormal="130" topLeftCell="A49" workbookViewId="0">
      <selection activeCell="G19" sqref="G19"/>
    </sheetView>
  </sheetViews>
  <sheetFormatPr defaultColWidth="9" defaultRowHeight="12"/>
  <cols>
    <col min="1" max="1" width="4.6" style="4" customWidth="1"/>
    <col min="2" max="2" width="16.6" style="4" customWidth="1"/>
    <col min="3" max="3" width="13.6" style="5" customWidth="1"/>
    <col min="4" max="4" width="6.1" style="1" customWidth="1"/>
    <col min="5" max="5" width="7.1" style="1" customWidth="1"/>
    <col min="6" max="6" width="8.1" style="1" customWidth="1"/>
    <col min="7" max="7" width="10.5" style="1" customWidth="1"/>
    <col min="8" max="8" width="8.1" style="1" customWidth="1"/>
    <col min="9" max="10" width="8.1" style="1" hidden="1" customWidth="1"/>
    <col min="11" max="11" width="10" style="1" hidden="1" customWidth="1"/>
    <col min="12" max="12" width="8.1" style="1" hidden="1" customWidth="1"/>
    <col min="13" max="13" width="23.5" style="4" customWidth="1"/>
    <col min="14" max="14" width="6.1" style="4" customWidth="1"/>
    <col min="15" max="16384" width="9" style="4"/>
  </cols>
  <sheetData>
    <row r="1" ht="16.5" customHeight="1" spans="2:5">
      <c r="B1" s="6" t="e">
        <f>#REF!</f>
        <v>#REF!</v>
      </c>
      <c r="C1" s="7" t="s">
        <v>1524</v>
      </c>
      <c r="D1" s="7"/>
      <c r="E1" s="7"/>
    </row>
    <row r="2" s="1" customFormat="1" ht="30" customHeight="1" spans="1:13">
      <c r="A2" s="8" t="s">
        <v>21</v>
      </c>
      <c r="B2" s="9" t="s">
        <v>494</v>
      </c>
      <c r="C2" s="9" t="s">
        <v>606</v>
      </c>
      <c r="D2" s="9" t="s">
        <v>1295</v>
      </c>
      <c r="E2" s="1830" t="s">
        <v>2322</v>
      </c>
      <c r="F2" s="1830" t="s">
        <v>2240</v>
      </c>
      <c r="G2" s="9" t="s">
        <v>2241</v>
      </c>
      <c r="H2" s="9" t="s">
        <v>503</v>
      </c>
      <c r="I2" s="51" t="s">
        <v>2242</v>
      </c>
      <c r="J2" s="52" t="s">
        <v>2243</v>
      </c>
      <c r="K2" s="52" t="s">
        <v>2244</v>
      </c>
      <c r="L2" s="53" t="s">
        <v>2245</v>
      </c>
      <c r="M2" s="54" t="s">
        <v>1300</v>
      </c>
    </row>
    <row r="3" s="2" customFormat="1" ht="18.75" customHeight="1" spans="1:13">
      <c r="A3" s="10" t="s">
        <v>533</v>
      </c>
      <c r="B3" s="11" t="s">
        <v>2323</v>
      </c>
      <c r="C3" s="12"/>
      <c r="D3" s="12"/>
      <c r="E3" s="12"/>
      <c r="F3" s="12"/>
      <c r="G3" s="13" t="e">
        <f>G4+G9+G31+G37+G45</f>
        <v>#REF!</v>
      </c>
      <c r="H3" s="13" t="e">
        <f>IF(G3=0,"",IF(#REF!=0,"",G3*10000/#REF!))</f>
        <v>#REF!</v>
      </c>
      <c r="I3" s="55"/>
      <c r="J3" s="55"/>
      <c r="K3" s="55"/>
      <c r="L3" s="55"/>
      <c r="M3" s="56"/>
    </row>
    <row r="4" s="2" customFormat="1" ht="15" customHeight="1" spans="1:13">
      <c r="A4" s="1825" t="s">
        <v>2247</v>
      </c>
      <c r="B4" s="15" t="s">
        <v>2248</v>
      </c>
      <c r="C4" s="16"/>
      <c r="D4" s="16"/>
      <c r="E4" s="17"/>
      <c r="F4" s="16"/>
      <c r="G4" s="18" t="e">
        <f>SUM(G5:G8)</f>
        <v>#REF!</v>
      </c>
      <c r="H4" s="18" t="e">
        <f>IF(G4=0,"",IF(#REF!=0,"",G4*10000/#REF!))</f>
        <v>#REF!</v>
      </c>
      <c r="I4" s="57"/>
      <c r="J4" s="57"/>
      <c r="K4" s="57"/>
      <c r="L4" s="57"/>
      <c r="M4" s="58"/>
    </row>
    <row r="5" s="2" customFormat="1" ht="15" customHeight="1" outlineLevel="1" spans="1:13">
      <c r="A5" s="19" t="s">
        <v>622</v>
      </c>
      <c r="B5" s="20" t="s">
        <v>2249</v>
      </c>
      <c r="C5" s="21" t="s">
        <v>167</v>
      </c>
      <c r="D5" s="22">
        <v>6</v>
      </c>
      <c r="E5" s="23" t="e">
        <f>#REF!</f>
        <v>#REF!</v>
      </c>
      <c r="F5" s="24">
        <v>45</v>
      </c>
      <c r="G5" s="25" t="e">
        <f t="shared" ref="G5:G8" si="0">E5*F5*D5/10000</f>
        <v>#REF!</v>
      </c>
      <c r="H5" s="25" t="e">
        <f>IF(G5=0,"",IF(#REF!=0,"",G5*10000/#REF!))</f>
        <v>#REF!</v>
      </c>
      <c r="I5" s="59"/>
      <c r="J5" s="59"/>
      <c r="K5" s="59"/>
      <c r="L5" s="59"/>
      <c r="M5" s="58"/>
    </row>
    <row r="6" s="2" customFormat="1" ht="15" customHeight="1" outlineLevel="1" spans="1:13">
      <c r="A6" s="19" t="s">
        <v>622</v>
      </c>
      <c r="B6" s="20" t="s">
        <v>2324</v>
      </c>
      <c r="C6" s="22" t="s">
        <v>505</v>
      </c>
      <c r="D6" s="22">
        <v>1</v>
      </c>
      <c r="E6" s="23" t="e">
        <f>#REF!</f>
        <v>#REF!</v>
      </c>
      <c r="F6" s="22">
        <v>120</v>
      </c>
      <c r="G6" s="25" t="e">
        <f t="shared" si="0"/>
        <v>#REF!</v>
      </c>
      <c r="H6" s="25" t="e">
        <f>IF(G6=0,"",IF(#REF!=0,"",G6*10000/#REF!))</f>
        <v>#REF!</v>
      </c>
      <c r="I6" s="59"/>
      <c r="J6" s="59"/>
      <c r="K6" s="59"/>
      <c r="L6" s="59"/>
      <c r="M6" s="58"/>
    </row>
    <row r="7" s="2" customFormat="1" ht="15" customHeight="1" outlineLevel="1" spans="1:13">
      <c r="A7" s="19" t="s">
        <v>622</v>
      </c>
      <c r="B7" s="20" t="s">
        <v>2325</v>
      </c>
      <c r="C7" s="22" t="s">
        <v>505</v>
      </c>
      <c r="D7" s="22">
        <v>1</v>
      </c>
      <c r="E7" s="23" t="e">
        <f>#REF!</f>
        <v>#REF!</v>
      </c>
      <c r="F7" s="22">
        <v>230</v>
      </c>
      <c r="G7" s="25" t="e">
        <f t="shared" si="0"/>
        <v>#REF!</v>
      </c>
      <c r="H7" s="25" t="e">
        <f>IF(G7=0,"",IF(#REF!=0,"",G7*10000/#REF!))</f>
        <v>#REF!</v>
      </c>
      <c r="I7" s="59"/>
      <c r="J7" s="59"/>
      <c r="K7" s="59"/>
      <c r="L7" s="59"/>
      <c r="M7" s="58"/>
    </row>
    <row r="8" s="2" customFormat="1" ht="15" customHeight="1" outlineLevel="1" spans="1:13">
      <c r="A8" s="19" t="s">
        <v>622</v>
      </c>
      <c r="B8" s="20" t="s">
        <v>2327</v>
      </c>
      <c r="C8" s="22" t="s">
        <v>505</v>
      </c>
      <c r="D8" s="22">
        <v>1</v>
      </c>
      <c r="E8" s="23" t="e">
        <f>#REF!</f>
        <v>#REF!</v>
      </c>
      <c r="F8" s="22">
        <v>5</v>
      </c>
      <c r="G8" s="25" t="e">
        <f t="shared" si="0"/>
        <v>#REF!</v>
      </c>
      <c r="H8" s="25" t="e">
        <f>IF(G8=0,"",IF(#REF!=0,"",G8*10000/#REF!))</f>
        <v>#REF!</v>
      </c>
      <c r="I8" s="59"/>
      <c r="J8" s="59"/>
      <c r="K8" s="59"/>
      <c r="L8" s="59"/>
      <c r="M8" s="58"/>
    </row>
    <row r="9" s="2" customFormat="1" ht="15" customHeight="1" spans="1:13">
      <c r="A9" s="1825" t="s">
        <v>2257</v>
      </c>
      <c r="B9" s="15" t="s">
        <v>2258</v>
      </c>
      <c r="C9" s="16"/>
      <c r="D9" s="16"/>
      <c r="E9" s="17"/>
      <c r="F9" s="16"/>
      <c r="G9" s="18" t="e">
        <f>G10+G14+G15+G21+G27</f>
        <v>#REF!</v>
      </c>
      <c r="H9" s="18" t="e">
        <f>IF(G9=0,"",IF(#REF!=0,"",G9*10000/#REF!))</f>
        <v>#REF!</v>
      </c>
      <c r="I9" s="57"/>
      <c r="J9" s="57"/>
      <c r="K9" s="57"/>
      <c r="L9" s="57"/>
      <c r="M9" s="60"/>
    </row>
    <row r="10" s="2" customFormat="1" ht="15" customHeight="1" outlineLevel="1" spans="1:13">
      <c r="A10" s="26" t="s">
        <v>622</v>
      </c>
      <c r="B10" s="1826" t="s">
        <v>2259</v>
      </c>
      <c r="C10" s="22" t="s">
        <v>505</v>
      </c>
      <c r="D10" s="22"/>
      <c r="E10" s="23"/>
      <c r="F10" s="22"/>
      <c r="G10" s="28" t="e">
        <f>SUM(G11:G13)</f>
        <v>#REF!</v>
      </c>
      <c r="H10" s="28" t="e">
        <f>IF(G10=0,"",IF(#REF!=0,"",G10*10000/#REF!))</f>
        <v>#REF!</v>
      </c>
      <c r="I10" s="43"/>
      <c r="J10" s="43"/>
      <c r="K10" s="43"/>
      <c r="L10" s="43"/>
      <c r="M10" s="58"/>
    </row>
    <row r="11" s="2" customFormat="1" ht="15" customHeight="1" outlineLevel="1" spans="1:13">
      <c r="A11" s="26"/>
      <c r="B11" s="1827" t="s">
        <v>1536</v>
      </c>
      <c r="C11" s="22" t="s">
        <v>505</v>
      </c>
      <c r="D11" s="78">
        <v>1</v>
      </c>
      <c r="E11" s="23" t="e">
        <f>#REF!</f>
        <v>#REF!</v>
      </c>
      <c r="F11" s="40" t="e">
        <f>'保护建筑(销售商业)'!F11</f>
        <v>#REF!</v>
      </c>
      <c r="G11" s="28" t="e">
        <f t="shared" ref="G11:G14" si="1">D11*E11*F11/10000</f>
        <v>#REF!</v>
      </c>
      <c r="H11" s="28"/>
      <c r="I11" s="43"/>
      <c r="J11" s="43"/>
      <c r="K11" s="43"/>
      <c r="L11" s="43"/>
      <c r="M11" s="58"/>
    </row>
    <row r="12" s="2" customFormat="1" ht="15" customHeight="1" outlineLevel="1" spans="1:13">
      <c r="A12" s="26"/>
      <c r="B12" s="1827" t="s">
        <v>1543</v>
      </c>
      <c r="C12" s="22" t="s">
        <v>505</v>
      </c>
      <c r="D12" s="78">
        <v>120</v>
      </c>
      <c r="E12" s="23" t="e">
        <f>#REF!</f>
        <v>#REF!</v>
      </c>
      <c r="F12" s="40" t="e">
        <f>'保护建筑(销售商业)'!F12</f>
        <v>#REF!</v>
      </c>
      <c r="G12" s="28" t="e">
        <f t="shared" si="1"/>
        <v>#REF!</v>
      </c>
      <c r="H12" s="28"/>
      <c r="I12" s="43"/>
      <c r="J12" s="43"/>
      <c r="K12" s="43"/>
      <c r="L12" s="43"/>
      <c r="M12" s="58"/>
    </row>
    <row r="13" s="2" customFormat="1" ht="15" customHeight="1" outlineLevel="1" spans="1:13">
      <c r="A13" s="26"/>
      <c r="B13" s="1827" t="s">
        <v>1550</v>
      </c>
      <c r="C13" s="22" t="s">
        <v>505</v>
      </c>
      <c r="D13" s="22">
        <v>4</v>
      </c>
      <c r="E13" s="23" t="e">
        <f>#REF!</f>
        <v>#REF!</v>
      </c>
      <c r="F13" s="40" t="e">
        <f>'保护建筑(销售商业)'!F13</f>
        <v>#REF!</v>
      </c>
      <c r="G13" s="28" t="e">
        <f t="shared" si="1"/>
        <v>#REF!</v>
      </c>
      <c r="H13" s="28"/>
      <c r="I13" s="43"/>
      <c r="J13" s="43"/>
      <c r="K13" s="43"/>
      <c r="L13" s="43"/>
      <c r="M13" s="58"/>
    </row>
    <row r="14" s="2" customFormat="1" ht="15" customHeight="1" outlineLevel="1" spans="1:13">
      <c r="A14" s="26" t="s">
        <v>622</v>
      </c>
      <c r="B14" s="1828" t="s">
        <v>1552</v>
      </c>
      <c r="C14" s="22" t="s">
        <v>505</v>
      </c>
      <c r="D14" s="22">
        <v>0.2</v>
      </c>
      <c r="E14" s="23" t="e">
        <f>#REF!</f>
        <v>#REF!</v>
      </c>
      <c r="F14" s="40" t="e">
        <f>'保护建筑(销售商业)'!F14</f>
        <v>#REF!</v>
      </c>
      <c r="G14" s="28" t="e">
        <f t="shared" si="1"/>
        <v>#REF!</v>
      </c>
      <c r="H14" s="28" t="e">
        <f>IF(G14=0,"",IF(#REF!=0,"",G14*10000/#REF!))</f>
        <v>#REF!</v>
      </c>
      <c r="I14" s="43"/>
      <c r="J14" s="43"/>
      <c r="K14" s="43"/>
      <c r="L14" s="43"/>
      <c r="M14" s="58"/>
    </row>
    <row r="15" s="2" customFormat="1" ht="15" customHeight="1" outlineLevel="1" spans="1:13">
      <c r="A15" s="26" t="s">
        <v>622</v>
      </c>
      <c r="B15" s="1828" t="s">
        <v>1564</v>
      </c>
      <c r="C15" s="22" t="s">
        <v>505</v>
      </c>
      <c r="D15" s="22"/>
      <c r="E15" s="23"/>
      <c r="F15" s="79"/>
      <c r="G15" s="28" t="e">
        <f>SUM(G16:G20)</f>
        <v>#REF!</v>
      </c>
      <c r="H15" s="28" t="e">
        <f>IF(G15=0,"",IF(#REF!=0,"",G15*10000/#REF!))</f>
        <v>#REF!</v>
      </c>
      <c r="I15" s="43"/>
      <c r="J15" s="43"/>
      <c r="K15" s="43"/>
      <c r="L15" s="43"/>
      <c r="M15" s="58"/>
    </row>
    <row r="16" s="2" customFormat="1" ht="15" customHeight="1" outlineLevel="1" spans="1:13">
      <c r="A16" s="26"/>
      <c r="B16" s="34" t="s">
        <v>2260</v>
      </c>
      <c r="C16" s="22" t="s">
        <v>505</v>
      </c>
      <c r="D16" s="40">
        <f>高层18!D16</f>
        <v>0.9</v>
      </c>
      <c r="E16" s="23" t="e">
        <f>#REF!</f>
        <v>#REF!</v>
      </c>
      <c r="F16" s="79">
        <v>28</v>
      </c>
      <c r="G16" s="28" t="e">
        <f>E16*F16*D16/10000</f>
        <v>#REF!</v>
      </c>
      <c r="H16" s="28"/>
      <c r="I16" s="43"/>
      <c r="J16" s="43"/>
      <c r="K16" s="43"/>
      <c r="L16" s="43"/>
      <c r="M16" s="58"/>
    </row>
    <row r="17" s="2" customFormat="1" ht="15" customHeight="1" outlineLevel="1" spans="1:13">
      <c r="A17" s="26"/>
      <c r="B17" s="34" t="s">
        <v>2328</v>
      </c>
      <c r="C17" s="22" t="s">
        <v>505</v>
      </c>
      <c r="D17" s="40">
        <v>3</v>
      </c>
      <c r="E17" s="23" t="e">
        <f>#REF!</f>
        <v>#REF!</v>
      </c>
      <c r="F17" s="79">
        <v>32</v>
      </c>
      <c r="G17" s="28" t="e">
        <f>E17*F17*D17/10000</f>
        <v>#REF!</v>
      </c>
      <c r="H17" s="28"/>
      <c r="I17" s="43"/>
      <c r="J17" s="43"/>
      <c r="K17" s="43"/>
      <c r="L17" s="43"/>
      <c r="M17" s="58"/>
    </row>
    <row r="18" s="2" customFormat="1" ht="15" customHeight="1" outlineLevel="1" spans="1:13">
      <c r="A18" s="26"/>
      <c r="B18" s="34" t="s">
        <v>2263</v>
      </c>
      <c r="C18" s="22" t="s">
        <v>505</v>
      </c>
      <c r="D18" s="40">
        <f>高层18!D18</f>
        <v>1.9</v>
      </c>
      <c r="E18" s="23" t="e">
        <f>#REF!</f>
        <v>#REF!</v>
      </c>
      <c r="F18" s="79">
        <v>8</v>
      </c>
      <c r="G18" s="28" t="e">
        <f t="shared" ref="G18:G26" si="2">E18*F18*D18/10000</f>
        <v>#REF!</v>
      </c>
      <c r="H18" s="28"/>
      <c r="I18" s="43"/>
      <c r="J18" s="43"/>
      <c r="K18" s="43"/>
      <c r="L18" s="43"/>
      <c r="M18" s="58"/>
    </row>
    <row r="19" s="2" customFormat="1" ht="15" customHeight="1" outlineLevel="1" spans="1:13">
      <c r="A19" s="26"/>
      <c r="B19" s="34" t="s">
        <v>2329</v>
      </c>
      <c r="C19" s="22" t="s">
        <v>505</v>
      </c>
      <c r="D19" s="40">
        <f>高层18!D19</f>
        <v>0.5</v>
      </c>
      <c r="E19" s="23" t="e">
        <f>#REF!</f>
        <v>#REF!</v>
      </c>
      <c r="F19" s="79">
        <v>18</v>
      </c>
      <c r="G19" s="28" t="e">
        <f t="shared" si="2"/>
        <v>#REF!</v>
      </c>
      <c r="H19" s="28"/>
      <c r="I19" s="43"/>
      <c r="J19" s="43"/>
      <c r="K19" s="43"/>
      <c r="L19" s="43"/>
      <c r="M19" s="58"/>
    </row>
    <row r="20" s="2" customFormat="1" ht="15" customHeight="1" outlineLevel="1" spans="1:13">
      <c r="A20" s="26"/>
      <c r="B20" s="34" t="s">
        <v>2330</v>
      </c>
      <c r="C20" s="22" t="s">
        <v>505</v>
      </c>
      <c r="D20" s="40"/>
      <c r="E20" s="23" t="e">
        <f>#REF!</f>
        <v>#REF!</v>
      </c>
      <c r="F20" s="79">
        <v>86</v>
      </c>
      <c r="G20" s="28" t="e">
        <f t="shared" si="2"/>
        <v>#REF!</v>
      </c>
      <c r="H20" s="28"/>
      <c r="I20" s="43"/>
      <c r="J20" s="43"/>
      <c r="K20" s="43"/>
      <c r="L20" s="43"/>
      <c r="M20" s="58"/>
    </row>
    <row r="21" s="2" customFormat="1" ht="15" customHeight="1" outlineLevel="1" spans="1:13">
      <c r="A21" s="26" t="s">
        <v>622</v>
      </c>
      <c r="B21" s="1828" t="s">
        <v>2266</v>
      </c>
      <c r="C21" s="22"/>
      <c r="D21" s="79"/>
      <c r="E21" s="23"/>
      <c r="F21" s="79"/>
      <c r="G21" s="28" t="e">
        <f>SUM(G22:G26)</f>
        <v>#REF!</v>
      </c>
      <c r="H21" s="28" t="e">
        <f>IF(G21=0,"",IF(#REF!=0,"",G21*10000/#REF!))</f>
        <v>#REF!</v>
      </c>
      <c r="I21" s="43"/>
      <c r="J21" s="43"/>
      <c r="K21" s="43"/>
      <c r="L21" s="43"/>
      <c r="M21" s="58"/>
    </row>
    <row r="22" s="2" customFormat="1" ht="15" customHeight="1" outlineLevel="1" spans="1:13">
      <c r="A22" s="26"/>
      <c r="B22" s="34" t="s">
        <v>2271</v>
      </c>
      <c r="C22" s="80" t="s">
        <v>598</v>
      </c>
      <c r="D22" s="79">
        <f>高层18!D22</f>
        <v>1.3</v>
      </c>
      <c r="E22" s="23" t="e">
        <f>#REF!</f>
        <v>#REF!</v>
      </c>
      <c r="F22" s="79">
        <v>98</v>
      </c>
      <c r="G22" s="28" t="e">
        <f t="shared" si="2"/>
        <v>#REF!</v>
      </c>
      <c r="H22" s="28"/>
      <c r="I22" s="43"/>
      <c r="J22" s="43"/>
      <c r="K22" s="43"/>
      <c r="L22" s="43"/>
      <c r="M22" s="58"/>
    </row>
    <row r="23" s="2" customFormat="1" ht="15" customHeight="1" outlineLevel="1" spans="1:13">
      <c r="A23" s="26"/>
      <c r="B23" s="34" t="s">
        <v>2331</v>
      </c>
      <c r="C23" s="80" t="s">
        <v>598</v>
      </c>
      <c r="D23" s="79">
        <f>高层18!D23</f>
        <v>1</v>
      </c>
      <c r="E23" s="23" t="e">
        <f>#REF!</f>
        <v>#REF!</v>
      </c>
      <c r="F23" s="79">
        <v>47</v>
      </c>
      <c r="G23" s="28" t="e">
        <f t="shared" si="2"/>
        <v>#REF!</v>
      </c>
      <c r="H23" s="28"/>
      <c r="I23" s="43"/>
      <c r="J23" s="43"/>
      <c r="K23" s="43"/>
      <c r="L23" s="43"/>
      <c r="M23" s="58"/>
    </row>
    <row r="24" s="2" customFormat="1" ht="15" customHeight="1" outlineLevel="1" spans="1:13">
      <c r="A24" s="26"/>
      <c r="B24" s="34" t="s">
        <v>2332</v>
      </c>
      <c r="C24" s="22" t="s">
        <v>505</v>
      </c>
      <c r="D24" s="79">
        <f>高层18!D24</f>
        <v>0.15</v>
      </c>
      <c r="E24" s="23" t="e">
        <f>#REF!</f>
        <v>#REF!</v>
      </c>
      <c r="F24" s="79">
        <v>47</v>
      </c>
      <c r="G24" s="28" t="e">
        <f t="shared" si="2"/>
        <v>#REF!</v>
      </c>
      <c r="H24" s="28"/>
      <c r="I24" s="43"/>
      <c r="J24" s="43"/>
      <c r="K24" s="43"/>
      <c r="L24" s="43"/>
      <c r="M24" s="58"/>
    </row>
    <row r="25" s="2" customFormat="1" ht="15" customHeight="1" outlineLevel="1" spans="1:13">
      <c r="A25" s="26"/>
      <c r="B25" s="34" t="s">
        <v>2269</v>
      </c>
      <c r="C25" s="22" t="s">
        <v>505</v>
      </c>
      <c r="D25" s="79">
        <f>高层18!D25</f>
        <v>0.15</v>
      </c>
      <c r="E25" s="23" t="e">
        <f>#REF!</f>
        <v>#REF!</v>
      </c>
      <c r="F25" s="79">
        <v>43</v>
      </c>
      <c r="G25" s="28" t="e">
        <f t="shared" si="2"/>
        <v>#REF!</v>
      </c>
      <c r="H25" s="28"/>
      <c r="I25" s="43"/>
      <c r="J25" s="43"/>
      <c r="K25" s="43"/>
      <c r="L25" s="43"/>
      <c r="M25" s="58"/>
    </row>
    <row r="26" s="2" customFormat="1" ht="15" customHeight="1" outlineLevel="1" spans="1:13">
      <c r="A26" s="26"/>
      <c r="B26" s="34" t="s">
        <v>2333</v>
      </c>
      <c r="C26" s="22" t="s">
        <v>505</v>
      </c>
      <c r="D26" s="79">
        <f>高层18!D26</f>
        <v>0.05</v>
      </c>
      <c r="E26" s="23" t="e">
        <f>#REF!</f>
        <v>#REF!</v>
      </c>
      <c r="F26" s="79">
        <v>47</v>
      </c>
      <c r="G26" s="28" t="e">
        <f t="shared" si="2"/>
        <v>#REF!</v>
      </c>
      <c r="H26" s="28"/>
      <c r="I26" s="43"/>
      <c r="J26" s="43"/>
      <c r="K26" s="43"/>
      <c r="L26" s="43"/>
      <c r="M26" s="58"/>
    </row>
    <row r="27" s="2" customFormat="1" ht="15" customHeight="1" outlineLevel="1" spans="1:13">
      <c r="A27" s="26" t="s">
        <v>622</v>
      </c>
      <c r="B27" s="27" t="s">
        <v>1275</v>
      </c>
      <c r="C27" s="22"/>
      <c r="D27" s="22"/>
      <c r="E27" s="23"/>
      <c r="F27" s="79"/>
      <c r="G27" s="28" t="e">
        <f>SUM(G28:G30)</f>
        <v>#REF!</v>
      </c>
      <c r="H27" s="28" t="e">
        <f>IF(G27=0,"",IF(#REF!=0,"",G27*10000/#REF!))</f>
        <v>#REF!</v>
      </c>
      <c r="I27" s="43"/>
      <c r="J27" s="43"/>
      <c r="K27" s="43"/>
      <c r="L27" s="43"/>
      <c r="M27" s="58"/>
    </row>
    <row r="28" s="2" customFormat="1" ht="15" customHeight="1" outlineLevel="1" spans="1:13">
      <c r="A28" s="26"/>
      <c r="B28" s="1829" t="s">
        <v>2274</v>
      </c>
      <c r="C28" s="22" t="s">
        <v>505</v>
      </c>
      <c r="D28" s="22">
        <v>1</v>
      </c>
      <c r="E28" s="23" t="e">
        <f>#REF!</f>
        <v>#REF!</v>
      </c>
      <c r="F28" s="79">
        <f>200+100</f>
        <v>300</v>
      </c>
      <c r="G28" s="28" t="e">
        <f t="shared" ref="G28:G30" si="3">D28*E28*F28/10000</f>
        <v>#REF!</v>
      </c>
      <c r="H28" s="28" t="e">
        <f>IF(G28=0,"",IF(#REF!=0,"",G28*10000/#REF!))</f>
        <v>#REF!</v>
      </c>
      <c r="I28" s="43"/>
      <c r="J28" s="43"/>
      <c r="K28" s="43"/>
      <c r="L28" s="43"/>
      <c r="M28" s="58"/>
    </row>
    <row r="29" s="2" customFormat="1" ht="15" customHeight="1" outlineLevel="1" spans="1:13">
      <c r="A29" s="26"/>
      <c r="B29" s="1829" t="s">
        <v>2275</v>
      </c>
      <c r="C29" s="22" t="s">
        <v>505</v>
      </c>
      <c r="D29" s="22">
        <v>0.03</v>
      </c>
      <c r="E29" s="23" t="e">
        <f>#REF!</f>
        <v>#REF!</v>
      </c>
      <c r="F29" s="42" t="e">
        <f>SUM(H10,H14,H15,H28,H21)</f>
        <v>#REF!</v>
      </c>
      <c r="G29" s="28" t="e">
        <f t="shared" si="3"/>
        <v>#REF!</v>
      </c>
      <c r="H29" s="28"/>
      <c r="I29" s="43"/>
      <c r="J29" s="43"/>
      <c r="K29" s="43"/>
      <c r="L29" s="43"/>
      <c r="M29" s="61"/>
    </row>
    <row r="30" s="2" customFormat="1" ht="15" customHeight="1" outlineLevel="1" spans="1:13">
      <c r="A30" s="26"/>
      <c r="B30" s="43" t="s">
        <v>2277</v>
      </c>
      <c r="C30" s="22"/>
      <c r="D30" s="22">
        <v>1</v>
      </c>
      <c r="E30" s="23" t="e">
        <f>#REF!</f>
        <v>#REF!</v>
      </c>
      <c r="F30" s="79">
        <v>100</v>
      </c>
      <c r="G30" s="28" t="e">
        <f t="shared" si="3"/>
        <v>#REF!</v>
      </c>
      <c r="H30" s="28"/>
      <c r="I30" s="43"/>
      <c r="J30" s="43"/>
      <c r="K30" s="43"/>
      <c r="L30" s="43"/>
      <c r="M30" s="58"/>
    </row>
    <row r="31" s="2" customFormat="1" ht="15" customHeight="1" spans="1:13">
      <c r="A31" s="1825" t="s">
        <v>2336</v>
      </c>
      <c r="B31" s="15" t="s">
        <v>1803</v>
      </c>
      <c r="C31" s="16"/>
      <c r="D31" s="16"/>
      <c r="E31" s="17"/>
      <c r="F31" s="16"/>
      <c r="G31" s="18" t="e">
        <f>SUM(G32:G36)</f>
        <v>#REF!</v>
      </c>
      <c r="H31" s="18" t="e">
        <f>IF(G31=0,"",IF(#REF!=0,"",G31*10000/#REF!))</f>
        <v>#REF!</v>
      </c>
      <c r="I31" s="57"/>
      <c r="J31" s="57"/>
      <c r="K31" s="57"/>
      <c r="L31" s="57"/>
      <c r="M31" s="58"/>
    </row>
    <row r="32" s="2" customFormat="1" ht="15" customHeight="1" outlineLevel="1" spans="1:13">
      <c r="A32" s="19" t="s">
        <v>622</v>
      </c>
      <c r="B32" s="20" t="s">
        <v>2337</v>
      </c>
      <c r="C32" s="22" t="s">
        <v>602</v>
      </c>
      <c r="D32" s="22"/>
      <c r="E32" s="23"/>
      <c r="F32" s="22"/>
      <c r="G32" s="28">
        <f t="shared" ref="G32:G36" si="4">D32*E32*F32/10000</f>
        <v>0</v>
      </c>
      <c r="H32" s="28" t="str">
        <f>IF(G32=0,"",IF(#REF!=0,"",G32*10000/#REF!))</f>
        <v/>
      </c>
      <c r="I32" s="43"/>
      <c r="J32" s="43"/>
      <c r="K32" s="43"/>
      <c r="L32" s="43"/>
      <c r="M32" s="58"/>
    </row>
    <row r="33" s="2" customFormat="1" ht="15" customHeight="1" outlineLevel="1" spans="1:13">
      <c r="A33" s="19" t="s">
        <v>622</v>
      </c>
      <c r="B33" s="20" t="s">
        <v>1808</v>
      </c>
      <c r="C33" s="22" t="s">
        <v>1806</v>
      </c>
      <c r="D33" s="22"/>
      <c r="E33" s="23"/>
      <c r="F33" s="40"/>
      <c r="G33" s="28">
        <f t="shared" si="4"/>
        <v>0</v>
      </c>
      <c r="H33" s="28" t="str">
        <f>IF(G33=0,"",IF(#REF!=0,"",G33*10000/#REF!))</f>
        <v/>
      </c>
      <c r="I33" s="43"/>
      <c r="J33" s="43"/>
      <c r="K33" s="43"/>
      <c r="L33" s="43"/>
      <c r="M33" s="62"/>
    </row>
    <row r="34" s="2" customFormat="1" ht="15" customHeight="1" outlineLevel="1" spans="1:13">
      <c r="A34" s="19" t="s">
        <v>622</v>
      </c>
      <c r="B34" s="20" t="s">
        <v>2338</v>
      </c>
      <c r="C34" s="22" t="s">
        <v>505</v>
      </c>
      <c r="D34" s="22"/>
      <c r="E34" s="23"/>
      <c r="F34" s="79"/>
      <c r="G34" s="28">
        <f t="shared" si="4"/>
        <v>0</v>
      </c>
      <c r="H34" s="28" t="str">
        <f>IF(G34=0,"",IF(#REF!=0,"",G34*10000/#REF!))</f>
        <v/>
      </c>
      <c r="I34" s="43"/>
      <c r="J34" s="43"/>
      <c r="K34" s="43"/>
      <c r="L34" s="43"/>
      <c r="M34" s="58"/>
    </row>
    <row r="35" s="2" customFormat="1" ht="15" customHeight="1" outlineLevel="1" spans="1:13">
      <c r="A35" s="19" t="s">
        <v>622</v>
      </c>
      <c r="B35" s="20" t="s">
        <v>2307</v>
      </c>
      <c r="C35" s="22" t="s">
        <v>505</v>
      </c>
      <c r="D35" s="22">
        <v>1</v>
      </c>
      <c r="E35" s="23" t="e">
        <f>#REF!</f>
        <v>#REF!</v>
      </c>
      <c r="F35" s="79">
        <v>20</v>
      </c>
      <c r="G35" s="28" t="e">
        <f t="shared" si="4"/>
        <v>#REF!</v>
      </c>
      <c r="H35" s="28" t="e">
        <f>IF(G35=0,"",IF(#REF!=0,"",G35*10000/#REF!))</f>
        <v>#REF!</v>
      </c>
      <c r="I35" s="43"/>
      <c r="J35" s="43"/>
      <c r="K35" s="43"/>
      <c r="L35" s="43"/>
      <c r="M35" s="58"/>
    </row>
    <row r="36" s="2" customFormat="1" ht="18.75" customHeight="1" outlineLevel="1" spans="1:13">
      <c r="A36" s="19" t="s">
        <v>622</v>
      </c>
      <c r="B36" s="20" t="s">
        <v>1813</v>
      </c>
      <c r="C36" s="22" t="s">
        <v>505</v>
      </c>
      <c r="D36" s="22">
        <v>0.5</v>
      </c>
      <c r="E36" s="23" t="e">
        <f>#REF!</f>
        <v>#REF!</v>
      </c>
      <c r="F36" s="79">
        <v>1000</v>
      </c>
      <c r="G36" s="28" t="e">
        <f t="shared" si="4"/>
        <v>#REF!</v>
      </c>
      <c r="H36" s="28" t="e">
        <f>IF(G36=0,"",IF(#REF!=0,"",G36*10000/#REF!))</f>
        <v>#REF!</v>
      </c>
      <c r="I36" s="43"/>
      <c r="J36" s="43"/>
      <c r="K36" s="43"/>
      <c r="L36" s="43"/>
      <c r="M36" s="61"/>
    </row>
    <row r="37" s="2" customFormat="1" ht="15" customHeight="1" spans="1:13">
      <c r="A37" s="1825" t="s">
        <v>2340</v>
      </c>
      <c r="B37" s="15" t="s">
        <v>2308</v>
      </c>
      <c r="C37" s="16"/>
      <c r="D37" s="16"/>
      <c r="E37" s="17"/>
      <c r="F37" s="81"/>
      <c r="G37" s="18" t="e">
        <f>SUM(G38:G44)</f>
        <v>#REF!</v>
      </c>
      <c r="H37" s="18" t="e">
        <f>IF(G37=0,"",IF(#REF!=0,"",G37*10000/#REF!))</f>
        <v>#REF!</v>
      </c>
      <c r="I37" s="57"/>
      <c r="J37" s="57"/>
      <c r="K37" s="57"/>
      <c r="L37" s="57"/>
      <c r="M37" s="58"/>
    </row>
    <row r="38" s="2" customFormat="1" ht="15" customHeight="1" outlineLevel="1" spans="1:13">
      <c r="A38" s="19" t="s">
        <v>622</v>
      </c>
      <c r="B38" s="45" t="s">
        <v>2341</v>
      </c>
      <c r="C38" s="21" t="s">
        <v>505</v>
      </c>
      <c r="D38" s="47">
        <v>1</v>
      </c>
      <c r="E38" s="23" t="e">
        <f>#REF!</f>
        <v>#REF!</v>
      </c>
      <c r="F38" s="82"/>
      <c r="G38" s="28" t="e">
        <f>E38*F38*D38/10000</f>
        <v>#REF!</v>
      </c>
      <c r="H38" s="28" t="e">
        <f>IF(G38=0,"",IF(#REF!=0,"",G38*10000/#REF!))</f>
        <v>#REF!</v>
      </c>
      <c r="I38" s="43"/>
      <c r="J38" s="43"/>
      <c r="K38" s="43"/>
      <c r="L38" s="43"/>
      <c r="M38" s="58"/>
    </row>
    <row r="39" s="2" customFormat="1" ht="15" customHeight="1" outlineLevel="1" spans="1:13">
      <c r="A39" s="19" t="s">
        <v>622</v>
      </c>
      <c r="B39" s="45" t="s">
        <v>2312</v>
      </c>
      <c r="C39" s="21" t="s">
        <v>505</v>
      </c>
      <c r="D39" s="47">
        <v>1</v>
      </c>
      <c r="E39" s="23" t="e">
        <f>#REF!</f>
        <v>#REF!</v>
      </c>
      <c r="F39" s="82"/>
      <c r="G39" s="28" t="e">
        <f t="shared" ref="G39:G44" si="5">E39*F39*D39/10000</f>
        <v>#REF!</v>
      </c>
      <c r="H39" s="28" t="e">
        <f>IF(G39=0,"",IF(#REF!=0,"",G39*10000/#REF!))</f>
        <v>#REF!</v>
      </c>
      <c r="I39" s="43"/>
      <c r="J39" s="43"/>
      <c r="K39" s="43"/>
      <c r="L39" s="43"/>
      <c r="M39" s="58"/>
    </row>
    <row r="40" s="2" customFormat="1" ht="15" customHeight="1" outlineLevel="1" spans="1:13">
      <c r="A40" s="19" t="s">
        <v>622</v>
      </c>
      <c r="B40" s="45" t="s">
        <v>2297</v>
      </c>
      <c r="C40" s="21" t="s">
        <v>505</v>
      </c>
      <c r="D40" s="47">
        <v>1</v>
      </c>
      <c r="E40" s="23" t="e">
        <f>#REF!</f>
        <v>#REF!</v>
      </c>
      <c r="F40" s="83">
        <v>700</v>
      </c>
      <c r="G40" s="28" t="e">
        <f t="shared" si="5"/>
        <v>#REF!</v>
      </c>
      <c r="H40" s="28" t="e">
        <f>IF(G40=0,"",IF(#REF!=0,"",G40*10000/#REF!))</f>
        <v>#REF!</v>
      </c>
      <c r="I40" s="43"/>
      <c r="J40" s="43"/>
      <c r="K40" s="43"/>
      <c r="L40" s="43"/>
      <c r="M40" s="58"/>
    </row>
    <row r="41" s="2" customFormat="1" ht="15" customHeight="1" outlineLevel="1" spans="1:13">
      <c r="A41" s="19" t="s">
        <v>622</v>
      </c>
      <c r="B41" s="45" t="s">
        <v>2311</v>
      </c>
      <c r="C41" s="21" t="s">
        <v>505</v>
      </c>
      <c r="D41" s="23" t="e">
        <f>#REF!*#REF!</f>
        <v>#REF!</v>
      </c>
      <c r="E41" s="23"/>
      <c r="F41" s="83">
        <v>8</v>
      </c>
      <c r="G41" s="28" t="e">
        <f t="shared" si="5"/>
        <v>#REF!</v>
      </c>
      <c r="H41" s="28" t="e">
        <f>IF(G41=0,"",IF(#REF!=0,"",G41*10000/#REF!))</f>
        <v>#REF!</v>
      </c>
      <c r="I41" s="43"/>
      <c r="J41" s="43"/>
      <c r="K41" s="43"/>
      <c r="L41" s="43"/>
      <c r="M41" s="58"/>
    </row>
    <row r="42" s="2" customFormat="1" ht="15" customHeight="1" outlineLevel="1" spans="1:13">
      <c r="A42" s="19" t="s">
        <v>622</v>
      </c>
      <c r="B42" s="45" t="s">
        <v>2345</v>
      </c>
      <c r="C42" s="22" t="s">
        <v>862</v>
      </c>
      <c r="D42" s="47">
        <v>1.3</v>
      </c>
      <c r="E42" s="23" t="e">
        <f>#REF!</f>
        <v>#REF!</v>
      </c>
      <c r="F42" s="83">
        <v>35</v>
      </c>
      <c r="G42" s="28" t="e">
        <f t="shared" si="5"/>
        <v>#REF!</v>
      </c>
      <c r="H42" s="28" t="e">
        <f>IF(G42=0,"",IF(#REF!=0,"",G42*10000/#REF!))</f>
        <v>#REF!</v>
      </c>
      <c r="I42" s="43"/>
      <c r="J42" s="43"/>
      <c r="K42" s="43"/>
      <c r="L42" s="43"/>
      <c r="M42" s="58"/>
    </row>
    <row r="43" s="2" customFormat="1" ht="15" customHeight="1" outlineLevel="1" spans="1:13">
      <c r="A43" s="19" t="s">
        <v>622</v>
      </c>
      <c r="B43" s="45" t="s">
        <v>2306</v>
      </c>
      <c r="C43" s="21" t="s">
        <v>505</v>
      </c>
      <c r="D43" s="47">
        <v>1</v>
      </c>
      <c r="E43" s="23" t="e">
        <f>#REF!</f>
        <v>#REF!</v>
      </c>
      <c r="F43" s="82">
        <v>45</v>
      </c>
      <c r="G43" s="28" t="e">
        <f t="shared" si="5"/>
        <v>#REF!</v>
      </c>
      <c r="H43" s="28" t="e">
        <f>IF(G43=0,"",IF(#REF!=0,"",G43*10000/#REF!))</f>
        <v>#REF!</v>
      </c>
      <c r="I43" s="43"/>
      <c r="J43" s="43"/>
      <c r="K43" s="43"/>
      <c r="L43" s="43"/>
      <c r="M43" s="58"/>
    </row>
    <row r="44" s="2" customFormat="1" ht="15" customHeight="1" outlineLevel="1" spans="1:13">
      <c r="A44" s="19" t="s">
        <v>622</v>
      </c>
      <c r="B44" s="45" t="s">
        <v>2346</v>
      </c>
      <c r="C44" s="21" t="s">
        <v>505</v>
      </c>
      <c r="D44" s="47">
        <v>0.8</v>
      </c>
      <c r="E44" s="23" t="e">
        <f>#REF!</f>
        <v>#REF!</v>
      </c>
      <c r="F44" s="83">
        <v>100</v>
      </c>
      <c r="G44" s="28" t="e">
        <f t="shared" si="5"/>
        <v>#REF!</v>
      </c>
      <c r="H44" s="28" t="e">
        <f>IF(G44=0,"",IF(#REF!=0,"",G44*10000/#REF!))</f>
        <v>#REF!</v>
      </c>
      <c r="I44" s="43"/>
      <c r="J44" s="43"/>
      <c r="K44" s="43"/>
      <c r="L44" s="43"/>
      <c r="M44" s="58"/>
    </row>
    <row r="45" s="2" customFormat="1" ht="15" customHeight="1" spans="1:13">
      <c r="A45" s="1825" t="s">
        <v>2347</v>
      </c>
      <c r="B45" s="15" t="s">
        <v>1705</v>
      </c>
      <c r="C45" s="16"/>
      <c r="D45" s="16">
        <v>1</v>
      </c>
      <c r="E45" s="23" t="e">
        <f>#REF!</f>
        <v>#REF!</v>
      </c>
      <c r="F45" s="81">
        <v>100</v>
      </c>
      <c r="G45" s="18" t="e">
        <f>D45*E45*F45/10000</f>
        <v>#REF!</v>
      </c>
      <c r="H45" s="18" t="e">
        <f>IF(G45=0,"",IF(#REF!=0,"",G45*10000/#REF!))</f>
        <v>#REF!</v>
      </c>
      <c r="I45" s="57"/>
      <c r="J45" s="57"/>
      <c r="K45" s="57"/>
      <c r="L45" s="57"/>
      <c r="M45" s="58"/>
    </row>
    <row r="46" s="2" customFormat="1" ht="15" customHeight="1" spans="1:13">
      <c r="A46" s="10" t="s">
        <v>2348</v>
      </c>
      <c r="B46" s="11" t="s">
        <v>2349</v>
      </c>
      <c r="C46" s="12"/>
      <c r="D46" s="12"/>
      <c r="E46" s="48"/>
      <c r="F46" s="12"/>
      <c r="G46" s="13" t="e">
        <f>G47+G58+G64</f>
        <v>#REF!</v>
      </c>
      <c r="H46" s="13" t="e">
        <f>IF(G46=0,"",IF(#REF!=0,"",G46*10000/#REF!))</f>
        <v>#REF!</v>
      </c>
      <c r="I46" s="55"/>
      <c r="J46" s="55"/>
      <c r="K46" s="55"/>
      <c r="L46" s="55"/>
      <c r="M46" s="63"/>
    </row>
    <row r="47" s="2" customFormat="1" ht="15" customHeight="1" spans="1:13">
      <c r="A47" s="1825" t="s">
        <v>2247</v>
      </c>
      <c r="B47" s="15" t="s">
        <v>2279</v>
      </c>
      <c r="C47" s="16"/>
      <c r="D47" s="16"/>
      <c r="E47" s="17"/>
      <c r="F47" s="16"/>
      <c r="G47" s="18" t="e">
        <f>G48+G53+G52</f>
        <v>#REF!</v>
      </c>
      <c r="H47" s="18" t="e">
        <f>IF(G47=0,"",IF(#REF!=0,"",G47*10000/#REF!))</f>
        <v>#REF!</v>
      </c>
      <c r="I47" s="57"/>
      <c r="J47" s="57"/>
      <c r="K47" s="57"/>
      <c r="L47" s="57"/>
      <c r="M47" s="58"/>
    </row>
    <row r="48" s="2" customFormat="1" ht="15" customHeight="1" outlineLevel="1" spans="1:13">
      <c r="A48" s="19" t="s">
        <v>622</v>
      </c>
      <c r="B48" s="20" t="s">
        <v>2280</v>
      </c>
      <c r="C48" s="22" t="s">
        <v>505</v>
      </c>
      <c r="D48" s="49"/>
      <c r="E48" s="23"/>
      <c r="F48" s="22"/>
      <c r="G48" s="28" t="e">
        <f>SUM(G49:G51)</f>
        <v>#REF!</v>
      </c>
      <c r="H48" s="28" t="e">
        <f>IF(G48=0,"",IF(#REF!=0,"",G48*10000/#REF!))</f>
        <v>#REF!</v>
      </c>
      <c r="I48" s="43"/>
      <c r="J48" s="43"/>
      <c r="K48" s="43"/>
      <c r="L48" s="43"/>
      <c r="M48" s="58"/>
    </row>
    <row r="49" s="2" customFormat="1" ht="15" customHeight="1" outlineLevel="1" spans="1:13">
      <c r="A49" s="19"/>
      <c r="B49" s="45" t="s">
        <v>2477</v>
      </c>
      <c r="C49" s="21" t="s">
        <v>505</v>
      </c>
      <c r="D49" s="21">
        <v>1</v>
      </c>
      <c r="E49" s="23" t="e">
        <f>#REF!</f>
        <v>#REF!</v>
      </c>
      <c r="F49" s="36">
        <v>100</v>
      </c>
      <c r="G49" s="28" t="e">
        <f t="shared" ref="G49:G57" si="6">D49*E49*F49/10000</f>
        <v>#REF!</v>
      </c>
      <c r="H49" s="28"/>
      <c r="I49" s="43"/>
      <c r="J49" s="43"/>
      <c r="K49" s="43"/>
      <c r="L49" s="43"/>
      <c r="M49" s="58"/>
    </row>
    <row r="50" s="2" customFormat="1" ht="15" customHeight="1" outlineLevel="1" spans="1:13">
      <c r="A50" s="19"/>
      <c r="B50" s="45" t="s">
        <v>2478</v>
      </c>
      <c r="C50" s="21" t="s">
        <v>505</v>
      </c>
      <c r="D50" s="21">
        <v>1</v>
      </c>
      <c r="E50" s="23" t="e">
        <f>#REF!</f>
        <v>#REF!</v>
      </c>
      <c r="F50" s="36">
        <v>5</v>
      </c>
      <c r="G50" s="28" t="e">
        <f t="shared" si="6"/>
        <v>#REF!</v>
      </c>
      <c r="H50" s="28"/>
      <c r="I50" s="43"/>
      <c r="J50" s="43"/>
      <c r="K50" s="43"/>
      <c r="L50" s="43"/>
      <c r="M50" s="58"/>
    </row>
    <row r="51" s="2" customFormat="1" ht="15" customHeight="1" outlineLevel="1" spans="1:13">
      <c r="A51" s="19"/>
      <c r="B51" s="45" t="s">
        <v>2479</v>
      </c>
      <c r="C51" s="21" t="s">
        <v>505</v>
      </c>
      <c r="D51" s="21">
        <v>1</v>
      </c>
      <c r="E51" s="23" t="e">
        <f>#REF!</f>
        <v>#REF!</v>
      </c>
      <c r="F51" s="36">
        <v>5</v>
      </c>
      <c r="G51" s="28" t="e">
        <f t="shared" si="6"/>
        <v>#REF!</v>
      </c>
      <c r="H51" s="28"/>
      <c r="I51" s="43"/>
      <c r="J51" s="43"/>
      <c r="K51" s="43"/>
      <c r="L51" s="43"/>
      <c r="M51" s="58"/>
    </row>
    <row r="52" s="2" customFormat="1" ht="15" customHeight="1" outlineLevel="1" spans="1:13">
      <c r="A52" s="19" t="s">
        <v>622</v>
      </c>
      <c r="B52" s="20" t="s">
        <v>2284</v>
      </c>
      <c r="C52" s="21" t="s">
        <v>505</v>
      </c>
      <c r="D52" s="21">
        <v>1</v>
      </c>
      <c r="E52" s="23" t="e">
        <f>#REF!</f>
        <v>#REF!</v>
      </c>
      <c r="F52" s="36"/>
      <c r="G52" s="28" t="e">
        <f t="shared" si="6"/>
        <v>#REF!</v>
      </c>
      <c r="H52" s="28" t="e">
        <f>IF(G52=0,"",IF(#REF!=0,"",G52*10000/#REF!))</f>
        <v>#REF!</v>
      </c>
      <c r="I52" s="43"/>
      <c r="J52" s="43"/>
      <c r="K52" s="43"/>
      <c r="L52" s="43"/>
      <c r="M52" s="58"/>
    </row>
    <row r="53" s="2" customFormat="1" ht="15" customHeight="1" outlineLevel="1" spans="1:13">
      <c r="A53" s="19" t="s">
        <v>622</v>
      </c>
      <c r="B53" s="20" t="s">
        <v>2285</v>
      </c>
      <c r="C53" s="22" t="s">
        <v>505</v>
      </c>
      <c r="D53" s="49"/>
      <c r="E53" s="23"/>
      <c r="F53" s="36"/>
      <c r="G53" s="28" t="e">
        <f>SUM(G54:G57)</f>
        <v>#REF!</v>
      </c>
      <c r="H53" s="28" t="e">
        <f>IF(G53=0,"",IF(#REF!=0,"",G53*10000/#REF!))</f>
        <v>#REF!</v>
      </c>
      <c r="I53" s="43"/>
      <c r="J53" s="43"/>
      <c r="K53" s="43"/>
      <c r="L53" s="43"/>
      <c r="M53" s="58"/>
    </row>
    <row r="54" s="2" customFormat="1" ht="16.5" customHeight="1" outlineLevel="1" spans="1:13">
      <c r="A54" s="19"/>
      <c r="B54" s="45" t="s">
        <v>2356</v>
      </c>
      <c r="C54" s="21" t="s">
        <v>505</v>
      </c>
      <c r="D54" s="21">
        <v>1</v>
      </c>
      <c r="E54" s="23" t="e">
        <f>#REF!</f>
        <v>#REF!</v>
      </c>
      <c r="F54" s="36">
        <v>150</v>
      </c>
      <c r="G54" s="28" t="e">
        <f t="shared" si="6"/>
        <v>#REF!</v>
      </c>
      <c r="H54" s="28"/>
      <c r="I54" s="43"/>
      <c r="J54" s="43"/>
      <c r="K54" s="43"/>
      <c r="L54" s="43"/>
      <c r="M54" s="58"/>
    </row>
    <row r="55" s="2" customFormat="1" ht="15" customHeight="1" outlineLevel="1" spans="1:13">
      <c r="A55" s="19"/>
      <c r="B55" s="45" t="s">
        <v>2480</v>
      </c>
      <c r="C55" s="21" t="s">
        <v>505</v>
      </c>
      <c r="D55" s="21">
        <v>1</v>
      </c>
      <c r="E55" s="23" t="e">
        <f>#REF!</f>
        <v>#REF!</v>
      </c>
      <c r="F55" s="36">
        <v>10</v>
      </c>
      <c r="G55" s="28" t="e">
        <f t="shared" si="6"/>
        <v>#REF!</v>
      </c>
      <c r="H55" s="28"/>
      <c r="I55" s="43"/>
      <c r="J55" s="43"/>
      <c r="K55" s="43"/>
      <c r="L55" s="43"/>
      <c r="M55" s="58"/>
    </row>
    <row r="56" s="2" customFormat="1" ht="15" customHeight="1" outlineLevel="1" spans="1:13">
      <c r="A56" s="19"/>
      <c r="B56" s="45" t="s">
        <v>2481</v>
      </c>
      <c r="C56" s="21" t="s">
        <v>505</v>
      </c>
      <c r="D56" s="21">
        <v>1</v>
      </c>
      <c r="E56" s="23" t="e">
        <f>#REF!</f>
        <v>#REF!</v>
      </c>
      <c r="F56" s="36">
        <v>20</v>
      </c>
      <c r="G56" s="28" t="e">
        <f t="shared" si="6"/>
        <v>#REF!</v>
      </c>
      <c r="H56" s="28"/>
      <c r="I56" s="43"/>
      <c r="J56" s="43"/>
      <c r="K56" s="43"/>
      <c r="L56" s="43"/>
      <c r="M56" s="74"/>
    </row>
    <row r="57" s="2" customFormat="1" ht="15" customHeight="1" outlineLevel="1" spans="1:13">
      <c r="A57" s="19"/>
      <c r="B57" s="45" t="s">
        <v>2358</v>
      </c>
      <c r="C57" s="21" t="s">
        <v>505</v>
      </c>
      <c r="D57" s="21">
        <v>1</v>
      </c>
      <c r="E57" s="23" t="e">
        <f>#REF!</f>
        <v>#REF!</v>
      </c>
      <c r="F57" s="93">
        <v>10</v>
      </c>
      <c r="G57" s="28" t="e">
        <f t="shared" si="6"/>
        <v>#REF!</v>
      </c>
      <c r="H57" s="28"/>
      <c r="I57" s="43"/>
      <c r="J57" s="43"/>
      <c r="K57" s="43"/>
      <c r="L57" s="43"/>
      <c r="M57" s="58"/>
    </row>
    <row r="58" s="2" customFormat="1" ht="15" customHeight="1" spans="1:13">
      <c r="A58" s="1825" t="s">
        <v>2257</v>
      </c>
      <c r="B58" s="15" t="s">
        <v>2291</v>
      </c>
      <c r="C58" s="16"/>
      <c r="D58" s="16"/>
      <c r="E58" s="17"/>
      <c r="F58" s="81"/>
      <c r="G58" s="18" t="e">
        <f>SUM(G59:G63)</f>
        <v>#REF!</v>
      </c>
      <c r="H58" s="18" t="e">
        <f>IF(G58=0,"",IF(#REF!=0,"",G58*10000/#REF!))</f>
        <v>#REF!</v>
      </c>
      <c r="I58" s="57"/>
      <c r="J58" s="57"/>
      <c r="K58" s="57"/>
      <c r="L58" s="57"/>
      <c r="M58" s="58"/>
    </row>
    <row r="59" s="2" customFormat="1" ht="15" customHeight="1" outlineLevel="1" spans="1:13">
      <c r="A59" s="19" t="s">
        <v>622</v>
      </c>
      <c r="B59" s="20" t="s">
        <v>2293</v>
      </c>
      <c r="C59" s="66" t="s">
        <v>602</v>
      </c>
      <c r="D59" s="21">
        <v>1</v>
      </c>
      <c r="E59" s="23" t="e">
        <f>#REF!</f>
        <v>#REF!</v>
      </c>
      <c r="F59" s="79">
        <v>100</v>
      </c>
      <c r="G59" s="28" t="e">
        <f t="shared" ref="G59:G61" si="7">E59*F59/10000</f>
        <v>#REF!</v>
      </c>
      <c r="H59" s="28"/>
      <c r="I59" s="43"/>
      <c r="J59" s="43"/>
      <c r="K59" s="43"/>
      <c r="L59" s="43"/>
      <c r="M59" s="58"/>
    </row>
    <row r="60" s="2" customFormat="1" ht="15" customHeight="1" outlineLevel="1" spans="1:13">
      <c r="A60" s="19" t="s">
        <v>622</v>
      </c>
      <c r="B60" s="20" t="s">
        <v>2292</v>
      </c>
      <c r="C60" s="66"/>
      <c r="D60" s="21">
        <v>1</v>
      </c>
      <c r="E60" s="23" t="e">
        <f>#REF!</f>
        <v>#REF!</v>
      </c>
      <c r="F60" s="79">
        <v>400</v>
      </c>
      <c r="G60" s="28" t="e">
        <f t="shared" si="7"/>
        <v>#REF!</v>
      </c>
      <c r="H60" s="28"/>
      <c r="I60" s="43"/>
      <c r="J60" s="43"/>
      <c r="K60" s="43"/>
      <c r="L60" s="43"/>
      <c r="M60" s="58"/>
    </row>
    <row r="61" s="2" customFormat="1" ht="15" customHeight="1" outlineLevel="1" spans="1:13">
      <c r="A61" s="19" t="s">
        <v>622</v>
      </c>
      <c r="B61" s="20" t="s">
        <v>2482</v>
      </c>
      <c r="C61" s="66"/>
      <c r="D61" s="21">
        <v>1</v>
      </c>
      <c r="E61" s="23" t="e">
        <f>#REF!</f>
        <v>#REF!</v>
      </c>
      <c r="F61" s="79">
        <v>100</v>
      </c>
      <c r="G61" s="28" t="e">
        <f t="shared" si="7"/>
        <v>#REF!</v>
      </c>
      <c r="H61" s="28"/>
      <c r="I61" s="43"/>
      <c r="J61" s="43"/>
      <c r="K61" s="43"/>
      <c r="L61" s="43"/>
      <c r="M61" s="58"/>
    </row>
    <row r="62" s="2" customFormat="1" ht="15" customHeight="1" outlineLevel="1" spans="1:13">
      <c r="A62" s="19" t="s">
        <v>622</v>
      </c>
      <c r="B62" s="20" t="s">
        <v>2295</v>
      </c>
      <c r="C62" s="22" t="s">
        <v>505</v>
      </c>
      <c r="D62" s="21">
        <v>1</v>
      </c>
      <c r="E62" s="23" t="e">
        <f>#REF!</f>
        <v>#REF!</v>
      </c>
      <c r="F62" s="85">
        <v>250</v>
      </c>
      <c r="G62" s="28" t="e">
        <f>D62*E62*F62/10000</f>
        <v>#REF!</v>
      </c>
      <c r="H62" s="28"/>
      <c r="I62" s="43"/>
      <c r="J62" s="43"/>
      <c r="K62" s="43"/>
      <c r="L62" s="43"/>
      <c r="M62" s="58"/>
    </row>
    <row r="63" s="2" customFormat="1" ht="15" customHeight="1" outlineLevel="1" spans="1:13">
      <c r="A63" s="19" t="s">
        <v>622</v>
      </c>
      <c r="B63" s="20" t="s">
        <v>2483</v>
      </c>
      <c r="C63" s="22" t="s">
        <v>505</v>
      </c>
      <c r="D63" s="21">
        <v>1</v>
      </c>
      <c r="E63" s="23" t="e">
        <f>#REF!</f>
        <v>#REF!</v>
      </c>
      <c r="F63" s="85">
        <v>2500</v>
      </c>
      <c r="G63" s="28" t="e">
        <f>D63*E63*F63/10000</f>
        <v>#REF!</v>
      </c>
      <c r="H63" s="28"/>
      <c r="I63" s="43"/>
      <c r="J63" s="43"/>
      <c r="K63" s="43"/>
      <c r="L63" s="43"/>
      <c r="M63" s="58"/>
    </row>
    <row r="64" s="2" customFormat="1" ht="15" customHeight="1" spans="1:13">
      <c r="A64" s="1825" t="s">
        <v>2362</v>
      </c>
      <c r="B64" s="15" t="s">
        <v>2363</v>
      </c>
      <c r="C64" s="16"/>
      <c r="D64" s="16"/>
      <c r="E64" s="17"/>
      <c r="F64" s="81"/>
      <c r="G64" s="18" t="e">
        <f>SUM(G65:G67)</f>
        <v>#REF!</v>
      </c>
      <c r="H64" s="18" t="e">
        <f>IF(G64=0,"",IF(#REF!=0,"",G64*10000/#REF!))</f>
        <v>#REF!</v>
      </c>
      <c r="I64" s="57"/>
      <c r="J64" s="57"/>
      <c r="K64" s="57"/>
      <c r="L64" s="57"/>
      <c r="M64" s="74"/>
    </row>
    <row r="65" s="2" customFormat="1" ht="15" customHeight="1" outlineLevel="1" spans="1:13">
      <c r="A65" s="19" t="s">
        <v>622</v>
      </c>
      <c r="B65" s="20" t="s">
        <v>2365</v>
      </c>
      <c r="C65" s="66" t="s">
        <v>601</v>
      </c>
      <c r="D65" s="21">
        <v>1</v>
      </c>
      <c r="E65" s="23" t="e">
        <f>#REF!</f>
        <v>#REF!</v>
      </c>
      <c r="F65" s="86">
        <v>200</v>
      </c>
      <c r="G65" s="28" t="e">
        <f t="shared" ref="G65:G67" si="8">E65*F65/10000</f>
        <v>#REF!</v>
      </c>
      <c r="H65" s="28" t="e">
        <f>IF(G65=0,"",IF(#REF!=0,"",G65*10000/#REF!))</f>
        <v>#REF!</v>
      </c>
      <c r="I65" s="43"/>
      <c r="J65" s="43"/>
      <c r="K65" s="43"/>
      <c r="L65" s="43"/>
      <c r="M65" s="58"/>
    </row>
    <row r="66" s="2" customFormat="1" ht="15" customHeight="1" outlineLevel="1" spans="1:13">
      <c r="A66" s="19" t="s">
        <v>622</v>
      </c>
      <c r="B66" s="20" t="s">
        <v>2367</v>
      </c>
      <c r="C66" s="66" t="s">
        <v>601</v>
      </c>
      <c r="D66" s="21">
        <v>1</v>
      </c>
      <c r="E66" s="23"/>
      <c r="F66" s="79"/>
      <c r="G66" s="28">
        <f t="shared" si="8"/>
        <v>0</v>
      </c>
      <c r="H66" s="28" t="str">
        <f>IF(G66=0,"",IF(#REF!=0,"",G66*10000/#REF!))</f>
        <v/>
      </c>
      <c r="I66" s="43"/>
      <c r="J66" s="43"/>
      <c r="K66" s="43"/>
      <c r="L66" s="43"/>
      <c r="M66" s="58"/>
    </row>
    <row r="67" s="2" customFormat="1" ht="15" customHeight="1" outlineLevel="1" spans="1:13">
      <c r="A67" s="68" t="s">
        <v>622</v>
      </c>
      <c r="B67" s="69" t="s">
        <v>2368</v>
      </c>
      <c r="C67" s="70" t="s">
        <v>601</v>
      </c>
      <c r="D67" s="71"/>
      <c r="E67" s="72"/>
      <c r="F67" s="71"/>
      <c r="G67" s="73">
        <f t="shared" si="8"/>
        <v>0</v>
      </c>
      <c r="H67" s="73" t="s">
        <v>511</v>
      </c>
      <c r="I67" s="75"/>
      <c r="J67" s="75"/>
      <c r="K67" s="75"/>
      <c r="L67" s="75"/>
      <c r="M67" s="76"/>
    </row>
  </sheetData>
  <mergeCells count="1">
    <mergeCell ref="C1:E1"/>
  </mergeCells>
  <pageMargins left="0.75" right="0.75" top="1" bottom="1" header="0.5" footer="0.5"/>
  <pageSetup paperSize="9" orientation="portrait"/>
  <headerFooter alignWithMargins="0"/>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8"/>
  <sheetViews>
    <sheetView zoomScale="130" zoomScaleNormal="130" workbookViewId="0">
      <selection activeCell="F51" sqref="F51"/>
    </sheetView>
  </sheetViews>
  <sheetFormatPr defaultColWidth="9" defaultRowHeight="12"/>
  <cols>
    <col min="1" max="1" width="4.6" style="4" customWidth="1"/>
    <col min="2" max="2" width="16.6" style="4" customWidth="1"/>
    <col min="3" max="3" width="8.9" style="4" customWidth="1"/>
    <col min="4" max="4" width="5.9" style="2" customWidth="1"/>
    <col min="5" max="5" width="7.1" style="2" customWidth="1"/>
    <col min="6" max="6" width="8.1" style="2" customWidth="1"/>
    <col min="7" max="7" width="10.5" style="1" customWidth="1"/>
    <col min="8" max="8" width="8.1" style="1" customWidth="1"/>
    <col min="9" max="12" width="8.1" style="1" hidden="1" customWidth="1"/>
    <col min="13" max="13" width="23.5" style="4" customWidth="1"/>
    <col min="14" max="14" width="6.1" style="4" customWidth="1"/>
    <col min="15" max="16384" width="9" style="4"/>
  </cols>
  <sheetData>
    <row r="1" ht="16.5" customHeight="1" spans="2:5">
      <c r="B1" s="6" t="e">
        <f>#REF!</f>
        <v>#REF!</v>
      </c>
      <c r="C1" s="7" t="s">
        <v>1524</v>
      </c>
      <c r="D1" s="7"/>
      <c r="E1" s="7"/>
    </row>
    <row r="2" s="1" customFormat="1" ht="30" customHeight="1" spans="1:13">
      <c r="A2" s="8" t="s">
        <v>21</v>
      </c>
      <c r="B2" s="9" t="s">
        <v>494</v>
      </c>
      <c r="C2" s="9" t="s">
        <v>606</v>
      </c>
      <c r="D2" s="9" t="s">
        <v>1295</v>
      </c>
      <c r="E2" s="1830" t="s">
        <v>2322</v>
      </c>
      <c r="F2" s="1830" t="s">
        <v>2240</v>
      </c>
      <c r="G2" s="9" t="s">
        <v>2241</v>
      </c>
      <c r="H2" s="9" t="s">
        <v>503</v>
      </c>
      <c r="I2" s="51" t="s">
        <v>2242</v>
      </c>
      <c r="J2" s="52" t="s">
        <v>2243</v>
      </c>
      <c r="K2" s="52" t="s">
        <v>2244</v>
      </c>
      <c r="L2" s="53" t="s">
        <v>2245</v>
      </c>
      <c r="M2" s="54" t="s">
        <v>1300</v>
      </c>
    </row>
    <row r="3" s="2" customFormat="1" ht="18.75" customHeight="1" spans="1:13">
      <c r="A3" s="10" t="s">
        <v>533</v>
      </c>
      <c r="B3" s="11" t="s">
        <v>2323</v>
      </c>
      <c r="C3" s="11"/>
      <c r="D3" s="87"/>
      <c r="E3" s="87"/>
      <c r="F3" s="87"/>
      <c r="G3" s="13" t="e">
        <f>G4+G9+G26+G28+G37</f>
        <v>#REF!</v>
      </c>
      <c r="H3" s="359" t="e">
        <f>IF(G3=0,"",IF(#REF!=0,"",G3*10000/#REF!))</f>
        <v>#REF!</v>
      </c>
      <c r="I3" s="357"/>
      <c r="J3" s="357"/>
      <c r="K3" s="357"/>
      <c r="L3" s="357"/>
      <c r="M3" s="56" t="e">
        <f>H3+H38</f>
        <v>#REF!</v>
      </c>
    </row>
    <row r="4" s="2" customFormat="1" ht="15" customHeight="1" spans="1:13">
      <c r="A4" s="1825" t="s">
        <v>2247</v>
      </c>
      <c r="B4" s="15" t="s">
        <v>2248</v>
      </c>
      <c r="C4" s="345"/>
      <c r="D4" s="88"/>
      <c r="E4" s="346"/>
      <c r="F4" s="88"/>
      <c r="G4" s="18" t="e">
        <f>SUM(G5:G8)</f>
        <v>#REF!</v>
      </c>
      <c r="H4" s="18" t="e">
        <f>IF(G4=0,"",IF(#REF!=0,"",G4*10000/#REF!))</f>
        <v>#REF!</v>
      </c>
      <c r="I4" s="57"/>
      <c r="J4" s="57"/>
      <c r="K4" s="57"/>
      <c r="L4" s="57"/>
      <c r="M4" s="58"/>
    </row>
    <row r="5" s="2" customFormat="1" ht="15" hidden="1" customHeight="1" outlineLevel="1" spans="1:13">
      <c r="A5" s="19" t="s">
        <v>622</v>
      </c>
      <c r="B5" s="20" t="s">
        <v>2249</v>
      </c>
      <c r="C5" s="22"/>
      <c r="D5" s="28"/>
      <c r="E5" s="97" t="e">
        <f>#REF!</f>
        <v>#REF!</v>
      </c>
      <c r="F5" s="36" t="e">
        <f>#REF!</f>
        <v>#REF!</v>
      </c>
      <c r="G5" s="25" t="e">
        <f t="shared" ref="G5:G8" si="0">E5*F5*D5/10000</f>
        <v>#REF!</v>
      </c>
      <c r="H5" s="28" t="e">
        <f>IF(G5=0,"",IF(#REF!=0,"",G5*10000/#REF!))</f>
        <v>#REF!</v>
      </c>
      <c r="I5" s="43"/>
      <c r="J5" s="43"/>
      <c r="K5" s="43"/>
      <c r="L5" s="43"/>
      <c r="M5" s="58"/>
    </row>
    <row r="6" s="2" customFormat="1" ht="15" hidden="1" customHeight="1" outlineLevel="1" spans="1:13">
      <c r="A6" s="19" t="s">
        <v>622</v>
      </c>
      <c r="B6" s="20" t="s">
        <v>2324</v>
      </c>
      <c r="C6" s="22" t="s">
        <v>505</v>
      </c>
      <c r="D6" s="28"/>
      <c r="E6" s="97" t="e">
        <f>#REF!</f>
        <v>#REF!</v>
      </c>
      <c r="F6" s="36" t="e">
        <f>#REF!</f>
        <v>#REF!</v>
      </c>
      <c r="G6" s="25" t="e">
        <f t="shared" si="0"/>
        <v>#REF!</v>
      </c>
      <c r="H6" s="28" t="e">
        <f>IF(G6=0,"",IF(#REF!=0,"",G6*10000/#REF!))</f>
        <v>#REF!</v>
      </c>
      <c r="I6" s="43"/>
      <c r="J6" s="43"/>
      <c r="K6" s="43"/>
      <c r="L6" s="43"/>
      <c r="M6" s="58"/>
    </row>
    <row r="7" s="2" customFormat="1" ht="15" hidden="1" customHeight="1" outlineLevel="1" spans="1:13">
      <c r="A7" s="19" t="s">
        <v>622</v>
      </c>
      <c r="B7" s="20" t="s">
        <v>2325</v>
      </c>
      <c r="C7" s="22" t="s">
        <v>505</v>
      </c>
      <c r="D7" s="28"/>
      <c r="E7" s="97" t="e">
        <f>#REF!</f>
        <v>#REF!</v>
      </c>
      <c r="F7" s="36">
        <f>高层还建房!F7</f>
        <v>185</v>
      </c>
      <c r="G7" s="25" t="e">
        <f t="shared" si="0"/>
        <v>#REF!</v>
      </c>
      <c r="H7" s="28" t="e">
        <f>IF(G7=0,"",IF(#REF!=0,"",G7*10000/#REF!))</f>
        <v>#REF!</v>
      </c>
      <c r="I7" s="43"/>
      <c r="J7" s="43"/>
      <c r="K7" s="43"/>
      <c r="L7" s="43"/>
      <c r="M7" s="58"/>
    </row>
    <row r="8" s="2" customFormat="1" ht="15" hidden="1" customHeight="1" outlineLevel="1" spans="1:13">
      <c r="A8" s="19" t="s">
        <v>622</v>
      </c>
      <c r="B8" s="20" t="s">
        <v>2327</v>
      </c>
      <c r="C8" s="22" t="s">
        <v>505</v>
      </c>
      <c r="D8" s="28"/>
      <c r="E8" s="97" t="e">
        <f>#REF!</f>
        <v>#REF!</v>
      </c>
      <c r="F8" s="36" t="e">
        <f>#REF!</f>
        <v>#REF!</v>
      </c>
      <c r="G8" s="25" t="e">
        <f t="shared" si="0"/>
        <v>#REF!</v>
      </c>
      <c r="H8" s="28" t="e">
        <f>IF(G8=0,"",IF(#REF!=0,"",G8*10000/#REF!))</f>
        <v>#REF!</v>
      </c>
      <c r="I8" s="43"/>
      <c r="J8" s="43"/>
      <c r="K8" s="43"/>
      <c r="L8" s="43"/>
      <c r="M8" s="58"/>
    </row>
    <row r="9" s="2" customFormat="1" ht="15" customHeight="1" collapsed="1" spans="1:13">
      <c r="A9" s="1825" t="s">
        <v>2257</v>
      </c>
      <c r="B9" s="15" t="s">
        <v>2258</v>
      </c>
      <c r="C9" s="16"/>
      <c r="D9" s="88"/>
      <c r="E9" s="346"/>
      <c r="F9" s="88"/>
      <c r="G9" s="18" t="e">
        <f>G10+G14+G15+G20+G21</f>
        <v>#REF!</v>
      </c>
      <c r="H9" s="18" t="e">
        <f>IF(G9=0,"",IF(#REF!=0,"",G9*10000/#REF!))</f>
        <v>#REF!</v>
      </c>
      <c r="I9" s="57"/>
      <c r="J9" s="57"/>
      <c r="K9" s="57"/>
      <c r="L9" s="57"/>
      <c r="M9" s="60"/>
    </row>
    <row r="10" s="2" customFormat="1" ht="15" customHeight="1" outlineLevel="1" spans="1:13">
      <c r="A10" s="26" t="s">
        <v>622</v>
      </c>
      <c r="B10" s="1826" t="s">
        <v>2259</v>
      </c>
      <c r="C10" s="22" t="s">
        <v>505</v>
      </c>
      <c r="D10" s="36"/>
      <c r="E10" s="97"/>
      <c r="F10" s="36"/>
      <c r="G10" s="28" t="e">
        <f>SUM(G11:G13)</f>
        <v>#REF!</v>
      </c>
      <c r="H10" s="28" t="e">
        <f>IF(G10=0,"",IF(#REF!=0,"",G10*10000/#REF!))</f>
        <v>#REF!</v>
      </c>
      <c r="I10" s="43"/>
      <c r="J10" s="43"/>
      <c r="K10" s="43"/>
      <c r="L10" s="43"/>
      <c r="M10" s="58"/>
    </row>
    <row r="11" s="2" customFormat="1" ht="15" customHeight="1" outlineLevel="1" spans="1:13">
      <c r="A11" s="26"/>
      <c r="B11" s="1827" t="s">
        <v>1536</v>
      </c>
      <c r="C11" s="22" t="s">
        <v>505</v>
      </c>
      <c r="D11" s="347"/>
      <c r="E11" s="97" t="e">
        <f>#REF!</f>
        <v>#REF!</v>
      </c>
      <c r="F11" s="34" t="e">
        <f>#REF!</f>
        <v>#REF!</v>
      </c>
      <c r="G11" s="28" t="e">
        <f>D11*E11*F11/10000</f>
        <v>#REF!</v>
      </c>
      <c r="H11" s="28"/>
      <c r="I11" s="43"/>
      <c r="J11" s="43"/>
      <c r="K11" s="43"/>
      <c r="L11" s="43"/>
      <c r="M11" s="58"/>
    </row>
    <row r="12" s="2" customFormat="1" ht="15" customHeight="1" outlineLevel="1" spans="1:13">
      <c r="A12" s="26"/>
      <c r="B12" s="1827" t="s">
        <v>1543</v>
      </c>
      <c r="C12" s="22" t="s">
        <v>505</v>
      </c>
      <c r="D12" s="347"/>
      <c r="E12" s="97" t="e">
        <f>#REF!</f>
        <v>#REF!</v>
      </c>
      <c r="F12" s="34" t="e">
        <f>#REF!</f>
        <v>#REF!</v>
      </c>
      <c r="G12" s="28" t="e">
        <f t="shared" ref="G12:G25" si="1">D12*E12*F12/10000</f>
        <v>#REF!</v>
      </c>
      <c r="H12" s="28"/>
      <c r="I12" s="43"/>
      <c r="J12" s="43"/>
      <c r="K12" s="43"/>
      <c r="L12" s="43"/>
      <c r="M12" s="58"/>
    </row>
    <row r="13" s="2" customFormat="1" ht="15" customHeight="1" outlineLevel="1" spans="1:13">
      <c r="A13" s="26"/>
      <c r="B13" s="1827" t="s">
        <v>1550</v>
      </c>
      <c r="C13" s="22" t="s">
        <v>505</v>
      </c>
      <c r="D13" s="348"/>
      <c r="E13" s="97" t="e">
        <f>#REF!</f>
        <v>#REF!</v>
      </c>
      <c r="F13" s="34" t="e">
        <f>#REF!</f>
        <v>#REF!</v>
      </c>
      <c r="G13" s="28" t="e">
        <f t="shared" si="1"/>
        <v>#REF!</v>
      </c>
      <c r="H13" s="28"/>
      <c r="I13" s="43"/>
      <c r="J13" s="43"/>
      <c r="K13" s="43"/>
      <c r="L13" s="43"/>
      <c r="M13" s="58"/>
    </row>
    <row r="14" s="2" customFormat="1" ht="15" customHeight="1" outlineLevel="1" spans="1:13">
      <c r="A14" s="26" t="s">
        <v>622</v>
      </c>
      <c r="B14" s="1828" t="s">
        <v>1552</v>
      </c>
      <c r="C14" s="22" t="s">
        <v>505</v>
      </c>
      <c r="D14" s="347">
        <v>0.1</v>
      </c>
      <c r="E14" s="97" t="e">
        <f>#REF!</f>
        <v>#REF!</v>
      </c>
      <c r="F14" s="34" t="e">
        <f>#REF!</f>
        <v>#REF!</v>
      </c>
      <c r="G14" s="28" t="e">
        <f t="shared" si="1"/>
        <v>#REF!</v>
      </c>
      <c r="H14" s="28" t="e">
        <f>IF(G14=0,"",IF(#REF!=0,"",G14*10000/#REF!))</f>
        <v>#REF!</v>
      </c>
      <c r="I14" s="43"/>
      <c r="J14" s="43"/>
      <c r="K14" s="43"/>
      <c r="L14" s="43"/>
      <c r="M14" s="58"/>
    </row>
    <row r="15" s="2" customFormat="1" ht="15" customHeight="1" outlineLevel="1" spans="1:13">
      <c r="A15" s="26" t="s">
        <v>622</v>
      </c>
      <c r="B15" s="1828" t="s">
        <v>1564</v>
      </c>
      <c r="C15" s="22" t="s">
        <v>505</v>
      </c>
      <c r="D15" s="348"/>
      <c r="E15" s="97"/>
      <c r="F15" s="34"/>
      <c r="G15" s="28" t="e">
        <f>SUM(G16:G19)</f>
        <v>#REF!</v>
      </c>
      <c r="H15" s="28" t="e">
        <f>IF(G15=0,"",IF(#REF!=0,"",G15*10000/#REF!))</f>
        <v>#REF!</v>
      </c>
      <c r="I15" s="43"/>
      <c r="J15" s="43"/>
      <c r="K15" s="43"/>
      <c r="L15" s="43"/>
      <c r="M15" s="58"/>
    </row>
    <row r="16" s="2" customFormat="1" ht="15" customHeight="1" outlineLevel="1" spans="1:13">
      <c r="A16" s="26"/>
      <c r="B16" s="1827" t="s">
        <v>1566</v>
      </c>
      <c r="C16" s="22" t="s">
        <v>505</v>
      </c>
      <c r="D16" s="36">
        <v>1.2</v>
      </c>
      <c r="E16" s="97" t="e">
        <f>#REF!</f>
        <v>#REF!</v>
      </c>
      <c r="F16" s="34" t="e">
        <f>#REF!</f>
        <v>#REF!</v>
      </c>
      <c r="G16" s="28" t="e">
        <f t="shared" ref="G16:G19" si="2">E16*F16*D16/10000</f>
        <v>#REF!</v>
      </c>
      <c r="H16" s="28"/>
      <c r="I16" s="43"/>
      <c r="J16" s="43"/>
      <c r="K16" s="43"/>
      <c r="L16" s="43"/>
      <c r="M16" s="58"/>
    </row>
    <row r="17" s="2" customFormat="1" ht="15" customHeight="1" outlineLevel="1" spans="1:13">
      <c r="A17" s="26"/>
      <c r="B17" s="1827" t="s">
        <v>2484</v>
      </c>
      <c r="C17" s="22" t="s">
        <v>505</v>
      </c>
      <c r="D17" s="36">
        <v>4</v>
      </c>
      <c r="E17" s="97" t="e">
        <f>#REF!</f>
        <v>#REF!</v>
      </c>
      <c r="F17" s="34" t="e">
        <f>#REF!</f>
        <v>#REF!</v>
      </c>
      <c r="G17" s="28" t="e">
        <f t="shared" si="2"/>
        <v>#REF!</v>
      </c>
      <c r="H17" s="28"/>
      <c r="I17" s="43"/>
      <c r="J17" s="43"/>
      <c r="K17" s="43"/>
      <c r="L17" s="43"/>
      <c r="M17" s="58"/>
    </row>
    <row r="18" s="2" customFormat="1" ht="15" customHeight="1" outlineLevel="1" spans="1:13">
      <c r="A18" s="26"/>
      <c r="B18" s="1827" t="s">
        <v>1572</v>
      </c>
      <c r="C18" s="22" t="s">
        <v>505</v>
      </c>
      <c r="D18" s="36">
        <v>2</v>
      </c>
      <c r="E18" s="97" t="e">
        <f>#REF!</f>
        <v>#REF!</v>
      </c>
      <c r="F18" s="34" t="e">
        <f>#REF!</f>
        <v>#REF!</v>
      </c>
      <c r="G18" s="28" t="e">
        <f t="shared" si="2"/>
        <v>#REF!</v>
      </c>
      <c r="H18" s="28"/>
      <c r="I18" s="43"/>
      <c r="J18" s="43"/>
      <c r="K18" s="43"/>
      <c r="L18" s="43"/>
      <c r="M18" s="58"/>
    </row>
    <row r="19" s="2" customFormat="1" ht="15" customHeight="1" outlineLevel="1" spans="1:13">
      <c r="A19" s="26"/>
      <c r="B19" s="1827" t="s">
        <v>2485</v>
      </c>
      <c r="C19" s="22" t="s">
        <v>505</v>
      </c>
      <c r="D19" s="36">
        <v>3.5</v>
      </c>
      <c r="E19" s="97" t="e">
        <f>#REF!</f>
        <v>#REF!</v>
      </c>
      <c r="F19" s="34" t="e">
        <f>#REF!</f>
        <v>#REF!</v>
      </c>
      <c r="G19" s="28" t="e">
        <f t="shared" si="2"/>
        <v>#REF!</v>
      </c>
      <c r="H19" s="28"/>
      <c r="I19" s="43"/>
      <c r="J19" s="43"/>
      <c r="K19" s="43"/>
      <c r="L19" s="43"/>
      <c r="M19" s="58"/>
    </row>
    <row r="20" s="2" customFormat="1" ht="15" customHeight="1" outlineLevel="1" spans="1:13">
      <c r="A20" s="26" t="s">
        <v>622</v>
      </c>
      <c r="B20" s="1828" t="s">
        <v>2266</v>
      </c>
      <c r="C20" s="22" t="s">
        <v>2486</v>
      </c>
      <c r="D20" s="348">
        <v>0.5</v>
      </c>
      <c r="E20" s="97" t="e">
        <f>#REF!</f>
        <v>#REF!</v>
      </c>
      <c r="F20" s="34">
        <v>40</v>
      </c>
      <c r="G20" s="28" t="e">
        <f t="shared" si="1"/>
        <v>#REF!</v>
      </c>
      <c r="H20" s="28" t="e">
        <f>IF(G20=0,"",IF(#REF!=0,"",G20*10000/#REF!))</f>
        <v>#REF!</v>
      </c>
      <c r="I20" s="43"/>
      <c r="J20" s="43"/>
      <c r="K20" s="43"/>
      <c r="L20" s="43"/>
      <c r="M20" s="58"/>
    </row>
    <row r="21" s="2" customFormat="1" ht="15" customHeight="1" outlineLevel="1" spans="1:13">
      <c r="A21" s="26" t="s">
        <v>622</v>
      </c>
      <c r="B21" s="27" t="s">
        <v>1275</v>
      </c>
      <c r="C21" s="22"/>
      <c r="D21" s="347"/>
      <c r="E21" s="97"/>
      <c r="F21" s="34"/>
      <c r="G21" s="28" t="e">
        <f>SUM(G22:G25)</f>
        <v>#REF!</v>
      </c>
      <c r="H21" s="28" t="e">
        <f>IF(G21=0,"",IF(#REF!=0,"",G21*10000/#REF!))</f>
        <v>#REF!</v>
      </c>
      <c r="I21" s="43"/>
      <c r="J21" s="43"/>
      <c r="K21" s="43"/>
      <c r="L21" s="43"/>
      <c r="M21" s="58"/>
    </row>
    <row r="22" s="2" customFormat="1" ht="15" customHeight="1" outlineLevel="1" spans="1:13">
      <c r="A22" s="26"/>
      <c r="B22" s="1829" t="s">
        <v>2274</v>
      </c>
      <c r="C22" s="22" t="s">
        <v>505</v>
      </c>
      <c r="D22" s="348">
        <v>1</v>
      </c>
      <c r="E22" s="97" t="e">
        <f>#REF!</f>
        <v>#REF!</v>
      </c>
      <c r="F22" s="34">
        <v>5000</v>
      </c>
      <c r="G22" s="28" t="e">
        <f t="shared" si="1"/>
        <v>#REF!</v>
      </c>
      <c r="H22" s="28" t="e">
        <f>IF(G22=0,"",IF(#REF!=0,"",G22*10000/#REF!))</f>
        <v>#REF!</v>
      </c>
      <c r="I22" s="43"/>
      <c r="J22" s="43"/>
      <c r="K22" s="43"/>
      <c r="L22" s="43"/>
      <c r="M22" s="58" t="s">
        <v>2487</v>
      </c>
    </row>
    <row r="23" s="2" customFormat="1" ht="15" customHeight="1" outlineLevel="1" spans="1:13">
      <c r="A23" s="26"/>
      <c r="B23" s="1829" t="s">
        <v>2275</v>
      </c>
      <c r="C23" s="22" t="s">
        <v>505</v>
      </c>
      <c r="D23" s="349">
        <v>0.03</v>
      </c>
      <c r="E23" s="97" t="e">
        <f>#REF!</f>
        <v>#REF!</v>
      </c>
      <c r="F23" s="34" t="e">
        <f>SUM(H10,H14,H15,H22,H20)</f>
        <v>#REF!</v>
      </c>
      <c r="G23" s="28" t="e">
        <f t="shared" si="1"/>
        <v>#REF!</v>
      </c>
      <c r="H23" s="28"/>
      <c r="I23" s="43"/>
      <c r="J23" s="43"/>
      <c r="K23" s="43"/>
      <c r="L23" s="43"/>
      <c r="M23" s="61"/>
    </row>
    <row r="24" s="2" customFormat="1" ht="15" customHeight="1" outlineLevel="1" spans="1:13">
      <c r="A24" s="26"/>
      <c r="B24" s="1829" t="s">
        <v>2488</v>
      </c>
      <c r="C24" s="22"/>
      <c r="D24" s="348">
        <v>1</v>
      </c>
      <c r="E24" s="97" t="e">
        <f>#REF!</f>
        <v>#REF!</v>
      </c>
      <c r="F24" s="34">
        <v>32</v>
      </c>
      <c r="G24" s="28" t="e">
        <f t="shared" si="1"/>
        <v>#REF!</v>
      </c>
      <c r="H24" s="28"/>
      <c r="I24" s="43"/>
      <c r="J24" s="43"/>
      <c r="K24" s="43"/>
      <c r="L24" s="43"/>
      <c r="M24" s="58"/>
    </row>
    <row r="25" s="2" customFormat="1" ht="15" customHeight="1" outlineLevel="1" spans="1:13">
      <c r="A25" s="26"/>
      <c r="B25" s="34" t="s">
        <v>2489</v>
      </c>
      <c r="C25" s="22" t="s">
        <v>505</v>
      </c>
      <c r="D25" s="348">
        <v>1</v>
      </c>
      <c r="E25" s="97" t="e">
        <f>#REF!</f>
        <v>#REF!</v>
      </c>
      <c r="F25" s="93">
        <v>100</v>
      </c>
      <c r="G25" s="28" t="e">
        <f t="shared" si="1"/>
        <v>#REF!</v>
      </c>
      <c r="H25" s="28"/>
      <c r="I25" s="43"/>
      <c r="J25" s="43"/>
      <c r="K25" s="43"/>
      <c r="L25" s="43"/>
      <c r="M25" s="58"/>
    </row>
    <row r="26" s="2" customFormat="1" ht="15" customHeight="1" spans="1:13">
      <c r="A26" s="1825" t="s">
        <v>2336</v>
      </c>
      <c r="B26" s="15" t="s">
        <v>1803</v>
      </c>
      <c r="C26" s="16"/>
      <c r="D26" s="88"/>
      <c r="E26" s="346"/>
      <c r="F26" s="88"/>
      <c r="G26" s="18" t="e">
        <f>SUM(G27:G27)</f>
        <v>#REF!</v>
      </c>
      <c r="H26" s="18" t="e">
        <f>IF(G26=0,"",IF(#REF!=0,"",G26*10000/#REF!))</f>
        <v>#REF!</v>
      </c>
      <c r="I26" s="57"/>
      <c r="J26" s="57"/>
      <c r="K26" s="57"/>
      <c r="L26" s="57"/>
      <c r="M26" s="58"/>
    </row>
    <row r="27" s="2" customFormat="1" ht="15" customHeight="1" outlineLevel="1" spans="1:13">
      <c r="A27" s="26" t="s">
        <v>622</v>
      </c>
      <c r="B27" s="45" t="s">
        <v>2490</v>
      </c>
      <c r="C27" s="21" t="s">
        <v>505</v>
      </c>
      <c r="D27" s="36">
        <v>1</v>
      </c>
      <c r="E27" s="97" t="e">
        <f>#REF!</f>
        <v>#REF!</v>
      </c>
      <c r="F27" s="36">
        <v>100</v>
      </c>
      <c r="G27" s="28" t="e">
        <f>D27*E27*F27/10000</f>
        <v>#REF!</v>
      </c>
      <c r="H27" s="28" t="e">
        <f>IF(G27=0,"",IF(#REF!=0,"",G27*10000/#REF!))</f>
        <v>#REF!</v>
      </c>
      <c r="I27" s="43"/>
      <c r="J27" s="43"/>
      <c r="K27" s="43"/>
      <c r="L27" s="43"/>
      <c r="M27" s="61"/>
    </row>
    <row r="28" s="2" customFormat="1" ht="15" customHeight="1" spans="1:13">
      <c r="A28" s="1825" t="s">
        <v>2340</v>
      </c>
      <c r="B28" s="15" t="s">
        <v>2308</v>
      </c>
      <c r="C28" s="345"/>
      <c r="D28" s="88">
        <v>1</v>
      </c>
      <c r="E28" s="97" t="e">
        <f>#REF!</f>
        <v>#REF!</v>
      </c>
      <c r="F28" s="88">
        <v>800</v>
      </c>
      <c r="G28" s="18" t="e">
        <f>D28*E28*F28/10000</f>
        <v>#REF!</v>
      </c>
      <c r="H28" s="18" t="e">
        <f>IF(G28=0,"",IF(#REF!=0,"",G28*10000/#REF!))</f>
        <v>#REF!</v>
      </c>
      <c r="I28" s="57"/>
      <c r="J28" s="57"/>
      <c r="K28" s="57"/>
      <c r="L28" s="57"/>
      <c r="M28" s="61"/>
    </row>
    <row r="29" s="2" customFormat="1" ht="15" hidden="1" customHeight="1" outlineLevel="1" spans="1:13">
      <c r="A29" s="19" t="s">
        <v>622</v>
      </c>
      <c r="B29" s="45" t="s">
        <v>2341</v>
      </c>
      <c r="C29" s="21" t="s">
        <v>505</v>
      </c>
      <c r="D29" s="36">
        <v>1</v>
      </c>
      <c r="E29" s="97" t="e">
        <f>#REF!</f>
        <v>#REF!</v>
      </c>
      <c r="F29" s="36">
        <v>22</v>
      </c>
      <c r="G29" s="28" t="e">
        <f>E29*F29*D29/10000</f>
        <v>#REF!</v>
      </c>
      <c r="H29" s="28" t="e">
        <f>IF(G29=0,"",IF(#REF!=0,"",G29*10000/#REF!))</f>
        <v>#REF!</v>
      </c>
      <c r="I29" s="43"/>
      <c r="J29" s="43"/>
      <c r="K29" s="43"/>
      <c r="L29" s="43"/>
      <c r="M29" s="58"/>
    </row>
    <row r="30" s="2" customFormat="1" ht="15" hidden="1" customHeight="1" outlineLevel="1" spans="1:13">
      <c r="A30" s="19" t="s">
        <v>622</v>
      </c>
      <c r="B30" s="45" t="s">
        <v>2312</v>
      </c>
      <c r="C30" s="21" t="s">
        <v>505</v>
      </c>
      <c r="D30" s="36">
        <v>1</v>
      </c>
      <c r="E30" s="97" t="e">
        <f>#REF!</f>
        <v>#REF!</v>
      </c>
      <c r="F30" s="36">
        <v>45</v>
      </c>
      <c r="G30" s="28" t="e">
        <f t="shared" ref="G30:G36" si="3">E30*F30*D30/10000</f>
        <v>#REF!</v>
      </c>
      <c r="H30" s="28" t="e">
        <f>IF(G30=0,"",IF(#REF!=0,"",G30*10000/#REF!))</f>
        <v>#REF!</v>
      </c>
      <c r="I30" s="43"/>
      <c r="J30" s="43"/>
      <c r="K30" s="43"/>
      <c r="L30" s="43"/>
      <c r="M30" s="58"/>
    </row>
    <row r="31" s="2" customFormat="1" ht="15" hidden="1" customHeight="1" outlineLevel="1" spans="1:13">
      <c r="A31" s="19" t="s">
        <v>622</v>
      </c>
      <c r="B31" s="45" t="s">
        <v>2297</v>
      </c>
      <c r="C31" s="21" t="s">
        <v>505</v>
      </c>
      <c r="D31" s="36">
        <v>1</v>
      </c>
      <c r="E31" s="97" t="e">
        <f>#REF!</f>
        <v>#REF!</v>
      </c>
      <c r="F31" s="36">
        <v>27</v>
      </c>
      <c r="G31" s="28" t="e">
        <f t="shared" si="3"/>
        <v>#REF!</v>
      </c>
      <c r="H31" s="28" t="e">
        <f>IF(G31=0,"",IF(#REF!=0,"",G31*10000/#REF!))</f>
        <v>#REF!</v>
      </c>
      <c r="I31" s="43"/>
      <c r="J31" s="43"/>
      <c r="K31" s="43"/>
      <c r="L31" s="43"/>
      <c r="M31" s="58"/>
    </row>
    <row r="32" s="2" customFormat="1" ht="15" hidden="1" customHeight="1" outlineLevel="1" spans="1:13">
      <c r="A32" s="19" t="s">
        <v>622</v>
      </c>
      <c r="B32" s="45" t="s">
        <v>2344</v>
      </c>
      <c r="C32" s="21" t="s">
        <v>505</v>
      </c>
      <c r="D32" s="36">
        <v>1</v>
      </c>
      <c r="E32" s="97" t="e">
        <f>#REF!</f>
        <v>#REF!</v>
      </c>
      <c r="F32" s="36">
        <v>25</v>
      </c>
      <c r="G32" s="28" t="e">
        <f t="shared" si="3"/>
        <v>#REF!</v>
      </c>
      <c r="H32" s="28" t="e">
        <f>IF(G32=0,"",IF(#REF!=0,"",G32*10000/#REF!))</f>
        <v>#REF!</v>
      </c>
      <c r="I32" s="43"/>
      <c r="J32" s="43"/>
      <c r="K32" s="43"/>
      <c r="L32" s="43"/>
      <c r="M32" s="58"/>
    </row>
    <row r="33" s="2" customFormat="1" ht="15" hidden="1" customHeight="1" outlineLevel="1" spans="1:13">
      <c r="A33" s="19" t="s">
        <v>622</v>
      </c>
      <c r="B33" s="45" t="s">
        <v>2311</v>
      </c>
      <c r="C33" s="21" t="s">
        <v>505</v>
      </c>
      <c r="D33" s="36">
        <v>1</v>
      </c>
      <c r="E33" s="97" t="e">
        <f>#REF!</f>
        <v>#REF!</v>
      </c>
      <c r="F33" s="36">
        <v>2</v>
      </c>
      <c r="G33" s="28" t="e">
        <f t="shared" si="3"/>
        <v>#REF!</v>
      </c>
      <c r="H33" s="28" t="e">
        <f>IF(G33=0,"",IF(#REF!=0,"",G33*10000/#REF!))</f>
        <v>#REF!</v>
      </c>
      <c r="I33" s="43"/>
      <c r="J33" s="43"/>
      <c r="K33" s="43"/>
      <c r="L33" s="43"/>
      <c r="M33" s="58"/>
    </row>
    <row r="34" s="2" customFormat="1" ht="15" hidden="1" customHeight="1" outlineLevel="1" spans="1:13">
      <c r="A34" s="19" t="s">
        <v>622</v>
      </c>
      <c r="B34" s="45" t="s">
        <v>2345</v>
      </c>
      <c r="C34" s="21" t="s">
        <v>505</v>
      </c>
      <c r="D34" s="36">
        <v>1</v>
      </c>
      <c r="E34" s="97" t="e">
        <f>#REF!</f>
        <v>#REF!</v>
      </c>
      <c r="F34" s="36">
        <v>2</v>
      </c>
      <c r="G34" s="28" t="e">
        <f t="shared" si="3"/>
        <v>#REF!</v>
      </c>
      <c r="H34" s="28" t="e">
        <f>IF(G34=0,"",IF(#REF!=0,"",G34*10000/#REF!))</f>
        <v>#REF!</v>
      </c>
      <c r="I34" s="43"/>
      <c r="J34" s="43"/>
      <c r="K34" s="43"/>
      <c r="L34" s="43"/>
      <c r="M34" s="58"/>
    </row>
    <row r="35" s="2" customFormat="1" ht="15" hidden="1" customHeight="1" outlineLevel="1" spans="1:13">
      <c r="A35" s="19" t="s">
        <v>622</v>
      </c>
      <c r="B35" s="45" t="s">
        <v>2306</v>
      </c>
      <c r="C35" s="21" t="s">
        <v>505</v>
      </c>
      <c r="D35" s="36">
        <v>1</v>
      </c>
      <c r="E35" s="97" t="e">
        <f>#REF!</f>
        <v>#REF!</v>
      </c>
      <c r="F35" s="36">
        <v>50</v>
      </c>
      <c r="G35" s="28" t="e">
        <f t="shared" si="3"/>
        <v>#REF!</v>
      </c>
      <c r="H35" s="28" t="e">
        <f>IF(G35=0,"",IF(#REF!=0,"",G35*10000/#REF!))</f>
        <v>#REF!</v>
      </c>
      <c r="I35" s="43"/>
      <c r="J35" s="43"/>
      <c r="K35" s="43"/>
      <c r="L35" s="43"/>
      <c r="M35" s="58"/>
    </row>
    <row r="36" s="2" customFormat="1" ht="15" hidden="1" customHeight="1" outlineLevel="1" spans="1:13">
      <c r="A36" s="19" t="s">
        <v>622</v>
      </c>
      <c r="B36" s="45" t="s">
        <v>2491</v>
      </c>
      <c r="C36" s="21" t="s">
        <v>505</v>
      </c>
      <c r="D36" s="36">
        <v>0.7</v>
      </c>
      <c r="E36" s="97" t="e">
        <f>#REF!</f>
        <v>#REF!</v>
      </c>
      <c r="F36" s="36">
        <v>80</v>
      </c>
      <c r="G36" s="28" t="e">
        <f t="shared" si="3"/>
        <v>#REF!</v>
      </c>
      <c r="H36" s="28" t="e">
        <f>IF(G36=0,"",IF(#REF!=0,"",G36*10000/#REF!))</f>
        <v>#REF!</v>
      </c>
      <c r="I36" s="43"/>
      <c r="J36" s="43"/>
      <c r="K36" s="43"/>
      <c r="L36" s="43"/>
      <c r="M36" s="58"/>
    </row>
    <row r="37" s="2" customFormat="1" ht="15" customHeight="1" collapsed="1" spans="1:13">
      <c r="A37" s="1825" t="s">
        <v>2347</v>
      </c>
      <c r="B37" s="15" t="s">
        <v>1705</v>
      </c>
      <c r="C37" s="345"/>
      <c r="D37" s="88">
        <v>1</v>
      </c>
      <c r="E37" s="97" t="e">
        <f>#REF!</f>
        <v>#REF!</v>
      </c>
      <c r="F37" s="88">
        <v>50</v>
      </c>
      <c r="G37" s="18" t="e">
        <f>D37*E37*F37/10000</f>
        <v>#REF!</v>
      </c>
      <c r="H37" s="18" t="e">
        <f>IF(G37=0,"",IF(#REF!=0,"",G37*10000/#REF!))</f>
        <v>#REF!</v>
      </c>
      <c r="I37" s="57"/>
      <c r="J37" s="57"/>
      <c r="K37" s="57"/>
      <c r="L37" s="57"/>
      <c r="M37" s="62"/>
    </row>
    <row r="38" s="2" customFormat="1" ht="15" customHeight="1" spans="1:13">
      <c r="A38" s="10" t="s">
        <v>2348</v>
      </c>
      <c r="B38" s="11" t="s">
        <v>2349</v>
      </c>
      <c r="C38" s="11"/>
      <c r="D38" s="87"/>
      <c r="E38" s="350"/>
      <c r="F38" s="87"/>
      <c r="G38" s="13" t="e">
        <f>G39+G50+G54</f>
        <v>#REF!</v>
      </c>
      <c r="H38" s="359" t="e">
        <f>IF(G38=0,"",IF(#REF!=0,"",G38*10000/#REF!))</f>
        <v>#REF!</v>
      </c>
      <c r="I38" s="357"/>
      <c r="J38" s="357"/>
      <c r="K38" s="357"/>
      <c r="L38" s="357"/>
      <c r="M38" s="63"/>
    </row>
    <row r="39" s="2" customFormat="1" ht="15" customHeight="1" spans="1:13">
      <c r="A39" s="1825" t="s">
        <v>2247</v>
      </c>
      <c r="B39" s="15" t="s">
        <v>2279</v>
      </c>
      <c r="C39" s="345"/>
      <c r="D39" s="88"/>
      <c r="E39" s="346"/>
      <c r="F39" s="88"/>
      <c r="G39" s="18" t="e">
        <f>G40+G45+G44</f>
        <v>#REF!</v>
      </c>
      <c r="H39" s="18" t="e">
        <f>IF(G39=0,"",IF(#REF!=0,"",G39*10000/#REF!))</f>
        <v>#REF!</v>
      </c>
      <c r="I39" s="57"/>
      <c r="J39" s="57"/>
      <c r="K39" s="57"/>
      <c r="L39" s="57"/>
      <c r="M39" s="58"/>
    </row>
    <row r="40" s="2" customFormat="1" ht="15" customHeight="1" outlineLevel="1" spans="1:13">
      <c r="A40" s="19" t="s">
        <v>622</v>
      </c>
      <c r="B40" s="20" t="s">
        <v>2280</v>
      </c>
      <c r="C40" s="22" t="s">
        <v>505</v>
      </c>
      <c r="D40" s="49"/>
      <c r="E40" s="97"/>
      <c r="F40" s="36"/>
      <c r="G40" s="28" t="e">
        <f>SUM(G41:G43)</f>
        <v>#REF!</v>
      </c>
      <c r="H40" s="28" t="e">
        <f>IF(G40=0,"",IF(#REF!=0,"",G40*10000/#REF!))</f>
        <v>#REF!</v>
      </c>
      <c r="I40" s="43"/>
      <c r="J40" s="43"/>
      <c r="K40" s="43"/>
      <c r="L40" s="43"/>
      <c r="M40" s="58"/>
    </row>
    <row r="41" s="2" customFormat="1" ht="15" customHeight="1" outlineLevel="1" spans="1:13">
      <c r="A41" s="19"/>
      <c r="B41" s="45" t="s">
        <v>2477</v>
      </c>
      <c r="C41" s="21" t="s">
        <v>505</v>
      </c>
      <c r="D41" s="21">
        <v>1</v>
      </c>
      <c r="E41" s="97" t="e">
        <f>#REF!</f>
        <v>#REF!</v>
      </c>
      <c r="F41" s="36">
        <v>30</v>
      </c>
      <c r="G41" s="28" t="e">
        <f t="shared" ref="G41:G49" si="4">D41*E41*F41/10000</f>
        <v>#REF!</v>
      </c>
      <c r="H41" s="28"/>
      <c r="I41" s="43"/>
      <c r="J41" s="43"/>
      <c r="K41" s="43"/>
      <c r="L41" s="43"/>
      <c r="M41" s="58"/>
    </row>
    <row r="42" s="2" customFormat="1" ht="15" customHeight="1" outlineLevel="1" spans="1:13">
      <c r="A42" s="19"/>
      <c r="B42" s="45" t="s">
        <v>2478</v>
      </c>
      <c r="C42" s="21" t="s">
        <v>505</v>
      </c>
      <c r="D42" s="21">
        <v>1</v>
      </c>
      <c r="E42" s="97" t="e">
        <f>#REF!</f>
        <v>#REF!</v>
      </c>
      <c r="F42" s="36">
        <v>5</v>
      </c>
      <c r="G42" s="28" t="e">
        <f t="shared" si="4"/>
        <v>#REF!</v>
      </c>
      <c r="H42" s="28"/>
      <c r="I42" s="43"/>
      <c r="J42" s="43"/>
      <c r="K42" s="43"/>
      <c r="L42" s="43"/>
      <c r="M42" s="58"/>
    </row>
    <row r="43" s="2" customFormat="1" ht="15" customHeight="1" outlineLevel="1" spans="1:13">
      <c r="A43" s="19"/>
      <c r="B43" s="45" t="s">
        <v>2479</v>
      </c>
      <c r="C43" s="21" t="s">
        <v>505</v>
      </c>
      <c r="D43" s="21">
        <v>1</v>
      </c>
      <c r="E43" s="97" t="e">
        <f>#REF!</f>
        <v>#REF!</v>
      </c>
      <c r="F43" s="36">
        <v>5</v>
      </c>
      <c r="G43" s="28" t="e">
        <f t="shared" si="4"/>
        <v>#REF!</v>
      </c>
      <c r="H43" s="28"/>
      <c r="I43" s="43"/>
      <c r="J43" s="43"/>
      <c r="K43" s="43"/>
      <c r="L43" s="43"/>
      <c r="M43" s="58"/>
    </row>
    <row r="44" s="2" customFormat="1" ht="16.5" customHeight="1" outlineLevel="1" spans="1:13">
      <c r="A44" s="19" t="s">
        <v>622</v>
      </c>
      <c r="B44" s="20" t="s">
        <v>2284</v>
      </c>
      <c r="C44" s="21" t="s">
        <v>505</v>
      </c>
      <c r="D44" s="21">
        <v>1</v>
      </c>
      <c r="E44" s="97" t="e">
        <f>#REF!</f>
        <v>#REF!</v>
      </c>
      <c r="F44" s="36"/>
      <c r="G44" s="28" t="e">
        <f t="shared" si="4"/>
        <v>#REF!</v>
      </c>
      <c r="H44" s="28" t="e">
        <f>IF(G44=0,"",IF(#REF!=0,"",G44*10000/#REF!))</f>
        <v>#REF!</v>
      </c>
      <c r="I44" s="43"/>
      <c r="J44" s="43"/>
      <c r="K44" s="43"/>
      <c r="L44" s="43"/>
      <c r="M44" s="58"/>
    </row>
    <row r="45" s="2" customFormat="1" ht="15" customHeight="1" outlineLevel="1" spans="1:13">
      <c r="A45" s="19" t="s">
        <v>622</v>
      </c>
      <c r="B45" s="20" t="s">
        <v>2285</v>
      </c>
      <c r="C45" s="22" t="s">
        <v>505</v>
      </c>
      <c r="D45" s="49"/>
      <c r="E45" s="97"/>
      <c r="F45" s="36"/>
      <c r="G45" s="28" t="e">
        <f>SUM(G46:G49)</f>
        <v>#REF!</v>
      </c>
      <c r="H45" s="28" t="e">
        <f>IF(G45=0,"",IF(#REF!=0,"",G45*10000/#REF!))</f>
        <v>#REF!</v>
      </c>
      <c r="I45" s="43"/>
      <c r="J45" s="43"/>
      <c r="K45" s="43"/>
      <c r="L45" s="43"/>
      <c r="M45" s="74"/>
    </row>
    <row r="46" s="2" customFormat="1" ht="15" customHeight="1" outlineLevel="1" spans="1:13">
      <c r="A46" s="19"/>
      <c r="B46" s="45" t="s">
        <v>2356</v>
      </c>
      <c r="C46" s="21" t="s">
        <v>505</v>
      </c>
      <c r="D46" s="21">
        <v>1</v>
      </c>
      <c r="E46" s="97" t="e">
        <f>#REF!</f>
        <v>#REF!</v>
      </c>
      <c r="F46" s="36">
        <v>40</v>
      </c>
      <c r="G46" s="28" t="e">
        <f t="shared" si="4"/>
        <v>#REF!</v>
      </c>
      <c r="H46" s="28"/>
      <c r="I46" s="43"/>
      <c r="J46" s="43"/>
      <c r="K46" s="43"/>
      <c r="L46" s="43"/>
      <c r="M46" s="58"/>
    </row>
    <row r="47" s="2" customFormat="1" ht="15" customHeight="1" outlineLevel="1" spans="1:13">
      <c r="A47" s="19"/>
      <c r="B47" s="45" t="s">
        <v>2480</v>
      </c>
      <c r="C47" s="21" t="s">
        <v>505</v>
      </c>
      <c r="D47" s="21">
        <v>1</v>
      </c>
      <c r="E47" s="97" t="e">
        <f>#REF!</f>
        <v>#REF!</v>
      </c>
      <c r="F47" s="36">
        <v>10</v>
      </c>
      <c r="G47" s="28" t="e">
        <f t="shared" si="4"/>
        <v>#REF!</v>
      </c>
      <c r="H47" s="28"/>
      <c r="I47" s="43"/>
      <c r="J47" s="43"/>
      <c r="K47" s="43"/>
      <c r="L47" s="43"/>
      <c r="M47" s="58"/>
    </row>
    <row r="48" s="2" customFormat="1" ht="15" customHeight="1" outlineLevel="1" spans="1:13">
      <c r="A48" s="19"/>
      <c r="B48" s="45" t="s">
        <v>2481</v>
      </c>
      <c r="C48" s="21" t="s">
        <v>505</v>
      </c>
      <c r="D48" s="21">
        <v>1</v>
      </c>
      <c r="E48" s="97" t="e">
        <f>#REF!</f>
        <v>#REF!</v>
      </c>
      <c r="F48" s="36">
        <v>20</v>
      </c>
      <c r="G48" s="28" t="e">
        <f t="shared" si="4"/>
        <v>#REF!</v>
      </c>
      <c r="H48" s="28"/>
      <c r="I48" s="43"/>
      <c r="J48" s="43"/>
      <c r="K48" s="43"/>
      <c r="L48" s="43"/>
      <c r="M48" s="58"/>
    </row>
    <row r="49" s="2" customFormat="1" ht="15" customHeight="1" outlineLevel="1" spans="1:13">
      <c r="A49" s="19"/>
      <c r="B49" s="45" t="s">
        <v>2358</v>
      </c>
      <c r="C49" s="21" t="s">
        <v>601</v>
      </c>
      <c r="D49" s="21">
        <v>1</v>
      </c>
      <c r="E49" s="97" t="e">
        <f>#REF!</f>
        <v>#REF!</v>
      </c>
      <c r="F49" s="93">
        <v>10</v>
      </c>
      <c r="G49" s="28" t="e">
        <f t="shared" si="4"/>
        <v>#REF!</v>
      </c>
      <c r="H49" s="28"/>
      <c r="I49" s="43"/>
      <c r="J49" s="43"/>
      <c r="K49" s="43"/>
      <c r="L49" s="43"/>
      <c r="M49" s="58"/>
    </row>
    <row r="50" s="2" customFormat="1" ht="15" customHeight="1" spans="1:13">
      <c r="A50" s="1825" t="s">
        <v>2257</v>
      </c>
      <c r="B50" s="15" t="s">
        <v>2291</v>
      </c>
      <c r="C50" s="345"/>
      <c r="D50" s="351"/>
      <c r="E50" s="97"/>
      <c r="F50" s="88"/>
      <c r="G50" s="18" t="e">
        <f>SUM(G51:G53)</f>
        <v>#REF!</v>
      </c>
      <c r="H50" s="18" t="e">
        <f>IF(G50=0,"",IF(#REF!=0,"",G50*10000/#REF!))</f>
        <v>#REF!</v>
      </c>
      <c r="I50" s="57"/>
      <c r="J50" s="57"/>
      <c r="K50" s="57"/>
      <c r="L50" s="57"/>
      <c r="M50" s="61" t="s">
        <v>2492</v>
      </c>
    </row>
    <row r="51" s="2" customFormat="1" ht="15" customHeight="1" outlineLevel="1" spans="1:13">
      <c r="A51" s="19" t="s">
        <v>622</v>
      </c>
      <c r="B51" s="20" t="s">
        <v>2293</v>
      </c>
      <c r="C51" s="352" t="s">
        <v>602</v>
      </c>
      <c r="D51" s="21">
        <v>1</v>
      </c>
      <c r="E51" s="97" t="e">
        <f>#REF!</f>
        <v>#REF!</v>
      </c>
      <c r="F51" s="36">
        <v>100</v>
      </c>
      <c r="G51" s="28" t="e">
        <f t="shared" ref="G51:G54" si="5">D51*E51*F51/10000</f>
        <v>#REF!</v>
      </c>
      <c r="H51" s="28" t="e">
        <f>IF(G51=0,"",IF(#REF!=0,"",G51*10000/#REF!))</f>
        <v>#REF!</v>
      </c>
      <c r="I51" s="43"/>
      <c r="J51" s="43"/>
      <c r="K51" s="43"/>
      <c r="L51" s="43"/>
      <c r="M51" s="58"/>
    </row>
    <row r="52" s="2" customFormat="1" ht="15" customHeight="1" outlineLevel="1" spans="1:13">
      <c r="A52" s="19" t="s">
        <v>622</v>
      </c>
      <c r="B52" s="353" t="s">
        <v>2493</v>
      </c>
      <c r="C52" s="352"/>
      <c r="D52" s="36"/>
      <c r="E52" s="97" t="e">
        <f>#REF!</f>
        <v>#REF!</v>
      </c>
      <c r="F52" s="36"/>
      <c r="G52" s="28" t="e">
        <f t="shared" ref="G52:G57" si="6">E52*F52/10000</f>
        <v>#REF!</v>
      </c>
      <c r="H52" s="28" t="e">
        <f>IF(G52=0,"",IF(#REF!=0,"",G52*10000/#REF!))</f>
        <v>#REF!</v>
      </c>
      <c r="I52" s="43"/>
      <c r="J52" s="43"/>
      <c r="K52" s="43"/>
      <c r="L52" s="43"/>
      <c r="M52" s="58"/>
    </row>
    <row r="53" s="2" customFormat="1" ht="15" customHeight="1" outlineLevel="1" spans="1:13">
      <c r="A53" s="19" t="s">
        <v>622</v>
      </c>
      <c r="B53" s="20" t="s">
        <v>2295</v>
      </c>
      <c r="C53" s="20" t="s">
        <v>505</v>
      </c>
      <c r="D53" s="21">
        <v>1</v>
      </c>
      <c r="E53" s="97" t="e">
        <f>#REF!</f>
        <v>#REF!</v>
      </c>
      <c r="F53" s="36">
        <v>150</v>
      </c>
      <c r="G53" s="28" t="e">
        <f t="shared" si="5"/>
        <v>#REF!</v>
      </c>
      <c r="H53" s="28" t="e">
        <f>IF(G53=0,"",IF(#REF!=0,"",G53*10000/#REF!))</f>
        <v>#REF!</v>
      </c>
      <c r="I53" s="43"/>
      <c r="J53" s="43"/>
      <c r="K53" s="43"/>
      <c r="L53" s="43"/>
      <c r="M53" s="58"/>
    </row>
    <row r="54" s="2" customFormat="1" ht="15" customHeight="1" spans="1:13">
      <c r="A54" s="1825" t="s">
        <v>2362</v>
      </c>
      <c r="B54" s="15" t="s">
        <v>2363</v>
      </c>
      <c r="C54" s="345"/>
      <c r="D54" s="351">
        <v>1</v>
      </c>
      <c r="E54" s="97" t="e">
        <f>#REF!</f>
        <v>#REF!</v>
      </c>
      <c r="F54" s="88">
        <v>120</v>
      </c>
      <c r="G54" s="18" t="e">
        <f t="shared" si="5"/>
        <v>#REF!</v>
      </c>
      <c r="H54" s="18" t="e">
        <f>IF(G54=0,"",IF(#REF!=0,"",G54*10000/#REF!))</f>
        <v>#REF!</v>
      </c>
      <c r="I54" s="57"/>
      <c r="J54" s="57"/>
      <c r="K54" s="57"/>
      <c r="L54" s="57"/>
      <c r="M54" s="74" t="s">
        <v>2364</v>
      </c>
    </row>
    <row r="55" s="2" customFormat="1" ht="15" hidden="1" customHeight="1" outlineLevel="1" spans="1:13">
      <c r="A55" s="19" t="s">
        <v>622</v>
      </c>
      <c r="B55" s="20" t="s">
        <v>2365</v>
      </c>
      <c r="C55" s="352" t="s">
        <v>601</v>
      </c>
      <c r="D55" s="21">
        <v>1</v>
      </c>
      <c r="E55" s="97"/>
      <c r="F55" s="36"/>
      <c r="G55" s="28">
        <f t="shared" si="6"/>
        <v>0</v>
      </c>
      <c r="H55" s="141" t="str">
        <f>IF(G55=0,"",IF(#REF!=0,"",G55*10000/#REF!))</f>
        <v/>
      </c>
      <c r="I55" s="158"/>
      <c r="J55" s="158"/>
      <c r="K55" s="158"/>
      <c r="L55" s="158"/>
      <c r="M55" s="58" t="s">
        <v>2494</v>
      </c>
    </row>
    <row r="56" s="2" customFormat="1" ht="15" hidden="1" customHeight="1" outlineLevel="1" spans="1:13">
      <c r="A56" s="19" t="s">
        <v>622</v>
      </c>
      <c r="B56" s="20" t="s">
        <v>2367</v>
      </c>
      <c r="C56" s="352" t="s">
        <v>601</v>
      </c>
      <c r="D56" s="21">
        <v>1</v>
      </c>
      <c r="E56" s="97"/>
      <c r="F56" s="36"/>
      <c r="G56" s="28">
        <f t="shared" si="6"/>
        <v>0</v>
      </c>
      <c r="H56" s="141" t="str">
        <f>IF(G56=0,"",IF(#REF!=0,"",G56*10000/#REF!))</f>
        <v/>
      </c>
      <c r="I56" s="158"/>
      <c r="J56" s="158"/>
      <c r="K56" s="158"/>
      <c r="L56" s="158"/>
      <c r="M56" s="58"/>
    </row>
    <row r="57" s="2" customFormat="1" ht="15" hidden="1" customHeight="1" outlineLevel="1" spans="1:13">
      <c r="A57" s="68" t="s">
        <v>622</v>
      </c>
      <c r="B57" s="69" t="s">
        <v>2368</v>
      </c>
      <c r="C57" s="354" t="s">
        <v>601</v>
      </c>
      <c r="D57" s="99"/>
      <c r="E57" s="355"/>
      <c r="F57" s="99"/>
      <c r="G57" s="73">
        <f t="shared" si="6"/>
        <v>0</v>
      </c>
      <c r="H57" s="356" t="s">
        <v>511</v>
      </c>
      <c r="I57" s="358"/>
      <c r="J57" s="358"/>
      <c r="K57" s="358"/>
      <c r="L57" s="358"/>
      <c r="M57" s="76" t="s">
        <v>2495</v>
      </c>
    </row>
    <row r="58" collapsed="1"/>
  </sheetData>
  <mergeCells count="1">
    <mergeCell ref="C1:E1"/>
  </mergeCells>
  <printOptions horizontalCentered="1"/>
  <pageMargins left="0" right="0" top="0.393055555555556" bottom="0.393055555555556" header="0.118055555555556" footer="0.314583333333333"/>
  <pageSetup paperSize="9" orientation="portrait" horizontalDpi="300" verticalDpi="300"/>
  <headerFooter alignWithMargins="0"/>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8"/>
  <sheetViews>
    <sheetView zoomScale="130" zoomScaleNormal="130" workbookViewId="0">
      <selection activeCell="F51" sqref="F51"/>
    </sheetView>
  </sheetViews>
  <sheetFormatPr defaultColWidth="9" defaultRowHeight="12"/>
  <cols>
    <col min="1" max="1" width="4.6" style="4" customWidth="1"/>
    <col min="2" max="2" width="16.6" style="4" customWidth="1"/>
    <col min="3" max="3" width="8.9" style="4" customWidth="1"/>
    <col min="4" max="4" width="5.9" style="2" customWidth="1"/>
    <col min="5" max="5" width="7.1" style="2" customWidth="1"/>
    <col min="6" max="6" width="8.1" style="2" customWidth="1"/>
    <col min="7" max="7" width="10.5" style="1" customWidth="1"/>
    <col min="8" max="8" width="8.1" style="1" customWidth="1"/>
    <col min="9" max="12" width="8.1" style="1" hidden="1" customWidth="1"/>
    <col min="13" max="13" width="23.5" style="4" customWidth="1"/>
    <col min="14" max="14" width="6.1" style="4" customWidth="1"/>
    <col min="15" max="16384" width="9" style="4"/>
  </cols>
  <sheetData>
    <row r="1" ht="16.5" customHeight="1" spans="2:5">
      <c r="B1" s="6" t="e">
        <f>#REF!</f>
        <v>#REF!</v>
      </c>
      <c r="C1" s="7" t="s">
        <v>1524</v>
      </c>
      <c r="D1" s="7"/>
      <c r="E1" s="7"/>
    </row>
    <row r="2" s="1" customFormat="1" ht="30" customHeight="1" spans="1:13">
      <c r="A2" s="8" t="s">
        <v>21</v>
      </c>
      <c r="B2" s="9" t="s">
        <v>494</v>
      </c>
      <c r="C2" s="9" t="s">
        <v>606</v>
      </c>
      <c r="D2" s="9" t="s">
        <v>1295</v>
      </c>
      <c r="E2" s="1830" t="s">
        <v>2322</v>
      </c>
      <c r="F2" s="1830" t="s">
        <v>2240</v>
      </c>
      <c r="G2" s="9" t="s">
        <v>2241</v>
      </c>
      <c r="H2" s="9" t="s">
        <v>503</v>
      </c>
      <c r="I2" s="51" t="s">
        <v>2242</v>
      </c>
      <c r="J2" s="52" t="s">
        <v>2243</v>
      </c>
      <c r="K2" s="52" t="s">
        <v>2244</v>
      </c>
      <c r="L2" s="53" t="s">
        <v>2245</v>
      </c>
      <c r="M2" s="54" t="s">
        <v>1300</v>
      </c>
    </row>
    <row r="3" s="2" customFormat="1" ht="18.75" customHeight="1" spans="1:13">
      <c r="A3" s="10" t="s">
        <v>533</v>
      </c>
      <c r="B3" s="11" t="s">
        <v>2323</v>
      </c>
      <c r="C3" s="11"/>
      <c r="D3" s="87"/>
      <c r="E3" s="87"/>
      <c r="F3" s="87"/>
      <c r="G3" s="13" t="e">
        <f>G4+G9+G26+G28+G37</f>
        <v>#REF!</v>
      </c>
      <c r="H3" s="13" t="e">
        <f>IF(G3=0,"",IF(#REF!=0,"",G3*10000/#REF!))</f>
        <v>#REF!</v>
      </c>
      <c r="I3" s="357"/>
      <c r="J3" s="357"/>
      <c r="K3" s="357"/>
      <c r="L3" s="357"/>
      <c r="M3" s="56" t="e">
        <f>H3+H38</f>
        <v>#REF!</v>
      </c>
    </row>
    <row r="4" s="2" customFormat="1" ht="15" customHeight="1" spans="1:13">
      <c r="A4" s="1825" t="s">
        <v>2247</v>
      </c>
      <c r="B4" s="15" t="s">
        <v>2248</v>
      </c>
      <c r="C4" s="345"/>
      <c r="D4" s="88"/>
      <c r="E4" s="346"/>
      <c r="F4" s="88"/>
      <c r="G4" s="18" t="e">
        <f>SUM(G5:G8)</f>
        <v>#REF!</v>
      </c>
      <c r="H4" s="18" t="e">
        <f>IF(G4=0,"",IF(#REF!=0,"",G4*10000/#REF!))</f>
        <v>#REF!</v>
      </c>
      <c r="I4" s="57"/>
      <c r="J4" s="57"/>
      <c r="K4" s="57"/>
      <c r="L4" s="57"/>
      <c r="M4" s="58"/>
    </row>
    <row r="5" s="2" customFormat="1" ht="15" hidden="1" customHeight="1" outlineLevel="1" spans="1:13">
      <c r="A5" s="19" t="s">
        <v>622</v>
      </c>
      <c r="B5" s="20" t="s">
        <v>2249</v>
      </c>
      <c r="C5" s="22"/>
      <c r="D5" s="28"/>
      <c r="E5" s="97" t="e">
        <f>#REF!</f>
        <v>#REF!</v>
      </c>
      <c r="F5" s="36" t="e">
        <f>#REF!</f>
        <v>#REF!</v>
      </c>
      <c r="G5" s="25" t="e">
        <f t="shared" ref="G5:G8" si="0">E5*F5*D5/10000</f>
        <v>#REF!</v>
      </c>
      <c r="H5" s="25" t="e">
        <f>IF(G5=0,"",IF(#REF!=0,"",G5*10000/#REF!))</f>
        <v>#REF!</v>
      </c>
      <c r="I5" s="43"/>
      <c r="J5" s="43"/>
      <c r="K5" s="43"/>
      <c r="L5" s="43"/>
      <c r="M5" s="58"/>
    </row>
    <row r="6" s="2" customFormat="1" ht="15" hidden="1" customHeight="1" outlineLevel="1" spans="1:13">
      <c r="A6" s="19" t="s">
        <v>622</v>
      </c>
      <c r="B6" s="20" t="s">
        <v>2324</v>
      </c>
      <c r="C6" s="22" t="s">
        <v>505</v>
      </c>
      <c r="D6" s="28"/>
      <c r="E6" s="97" t="e">
        <f>#REF!</f>
        <v>#REF!</v>
      </c>
      <c r="F6" s="36" t="e">
        <f>#REF!</f>
        <v>#REF!</v>
      </c>
      <c r="G6" s="25" t="e">
        <f t="shared" si="0"/>
        <v>#REF!</v>
      </c>
      <c r="H6" s="25" t="e">
        <f>IF(G6=0,"",IF(#REF!=0,"",G6*10000/#REF!))</f>
        <v>#REF!</v>
      </c>
      <c r="I6" s="43"/>
      <c r="J6" s="43"/>
      <c r="K6" s="43"/>
      <c r="L6" s="43"/>
      <c r="M6" s="58"/>
    </row>
    <row r="7" s="2" customFormat="1" ht="15" hidden="1" customHeight="1" outlineLevel="1" spans="1:13">
      <c r="A7" s="19" t="s">
        <v>622</v>
      </c>
      <c r="B7" s="20" t="s">
        <v>2325</v>
      </c>
      <c r="C7" s="22" t="s">
        <v>505</v>
      </c>
      <c r="D7" s="28"/>
      <c r="E7" s="97" t="e">
        <f>#REF!</f>
        <v>#REF!</v>
      </c>
      <c r="F7" s="36">
        <f>高层还建房!F7</f>
        <v>185</v>
      </c>
      <c r="G7" s="25" t="e">
        <f t="shared" si="0"/>
        <v>#REF!</v>
      </c>
      <c r="H7" s="25" t="e">
        <f>IF(G7=0,"",IF(#REF!=0,"",G7*10000/#REF!))</f>
        <v>#REF!</v>
      </c>
      <c r="I7" s="43"/>
      <c r="J7" s="43"/>
      <c r="K7" s="43"/>
      <c r="L7" s="43"/>
      <c r="M7" s="58"/>
    </row>
    <row r="8" s="2" customFormat="1" ht="15" hidden="1" customHeight="1" outlineLevel="1" spans="1:13">
      <c r="A8" s="19" t="s">
        <v>622</v>
      </c>
      <c r="B8" s="20" t="s">
        <v>2327</v>
      </c>
      <c r="C8" s="22" t="s">
        <v>505</v>
      </c>
      <c r="D8" s="28"/>
      <c r="E8" s="97" t="e">
        <f>#REF!</f>
        <v>#REF!</v>
      </c>
      <c r="F8" s="36" t="e">
        <f>#REF!</f>
        <v>#REF!</v>
      </c>
      <c r="G8" s="25" t="e">
        <f t="shared" si="0"/>
        <v>#REF!</v>
      </c>
      <c r="H8" s="25" t="e">
        <f>IF(G8=0,"",IF(#REF!=0,"",G8*10000/#REF!))</f>
        <v>#REF!</v>
      </c>
      <c r="I8" s="43"/>
      <c r="J8" s="43"/>
      <c r="K8" s="43"/>
      <c r="L8" s="43"/>
      <c r="M8" s="58"/>
    </row>
    <row r="9" s="2" customFormat="1" ht="15" customHeight="1" collapsed="1" spans="1:13">
      <c r="A9" s="1825" t="s">
        <v>2257</v>
      </c>
      <c r="B9" s="15" t="s">
        <v>2258</v>
      </c>
      <c r="C9" s="16"/>
      <c r="D9" s="88"/>
      <c r="E9" s="346"/>
      <c r="F9" s="88"/>
      <c r="G9" s="18" t="e">
        <f>G10+G14+G15+G20+G21</f>
        <v>#REF!</v>
      </c>
      <c r="H9" s="18" t="e">
        <f>IF(G9=0,"",IF(#REF!=0,"",G9*10000/#REF!))</f>
        <v>#REF!</v>
      </c>
      <c r="I9" s="57"/>
      <c r="J9" s="57"/>
      <c r="K9" s="57"/>
      <c r="L9" s="57"/>
      <c r="M9" s="60"/>
    </row>
    <row r="10" s="2" customFormat="1" ht="15" customHeight="1" outlineLevel="1" spans="1:13">
      <c r="A10" s="26" t="s">
        <v>622</v>
      </c>
      <c r="B10" s="1826" t="s">
        <v>2259</v>
      </c>
      <c r="C10" s="22" t="s">
        <v>505</v>
      </c>
      <c r="D10" s="36"/>
      <c r="E10" s="97"/>
      <c r="F10" s="36"/>
      <c r="G10" s="28" t="e">
        <f>SUM(G11:G13)</f>
        <v>#REF!</v>
      </c>
      <c r="H10" s="28" t="e">
        <f>IF(G10=0,"",IF(#REF!=0,"",G10*10000/#REF!))</f>
        <v>#REF!</v>
      </c>
      <c r="I10" s="43"/>
      <c r="J10" s="43"/>
      <c r="K10" s="43"/>
      <c r="L10" s="43"/>
      <c r="M10" s="58"/>
    </row>
    <row r="11" s="2" customFormat="1" ht="15" customHeight="1" outlineLevel="1" spans="1:13">
      <c r="A11" s="26"/>
      <c r="B11" s="1827" t="s">
        <v>1536</v>
      </c>
      <c r="C11" s="22" t="s">
        <v>505</v>
      </c>
      <c r="D11" s="347"/>
      <c r="E11" s="97" t="e">
        <f>#REF!</f>
        <v>#REF!</v>
      </c>
      <c r="F11" s="34" t="e">
        <f>'保护建筑(销售商业)'!F11</f>
        <v>#REF!</v>
      </c>
      <c r="G11" s="28" t="e">
        <f>D11*E11*F11/10000</f>
        <v>#REF!</v>
      </c>
      <c r="H11" s="28"/>
      <c r="I11" s="43"/>
      <c r="J11" s="43"/>
      <c r="K11" s="43"/>
      <c r="L11" s="43"/>
      <c r="M11" s="58"/>
    </row>
    <row r="12" s="2" customFormat="1" ht="15" customHeight="1" outlineLevel="1" spans="1:13">
      <c r="A12" s="26"/>
      <c r="B12" s="1827" t="s">
        <v>1543</v>
      </c>
      <c r="C12" s="22" t="s">
        <v>505</v>
      </c>
      <c r="D12" s="347"/>
      <c r="E12" s="97" t="e">
        <f>#REF!</f>
        <v>#REF!</v>
      </c>
      <c r="F12" s="34" t="e">
        <f>'保护建筑(销售商业)'!F12</f>
        <v>#REF!</v>
      </c>
      <c r="G12" s="28" t="e">
        <f t="shared" ref="G12:G25" si="1">D12*E12*F12/10000</f>
        <v>#REF!</v>
      </c>
      <c r="H12" s="28"/>
      <c r="I12" s="43"/>
      <c r="J12" s="43"/>
      <c r="K12" s="43"/>
      <c r="L12" s="43"/>
      <c r="M12" s="58"/>
    </row>
    <row r="13" s="2" customFormat="1" ht="15" customHeight="1" outlineLevel="1" spans="1:13">
      <c r="A13" s="26"/>
      <c r="B13" s="1827" t="s">
        <v>1550</v>
      </c>
      <c r="C13" s="22" t="s">
        <v>505</v>
      </c>
      <c r="D13" s="348"/>
      <c r="E13" s="97" t="e">
        <f>#REF!</f>
        <v>#REF!</v>
      </c>
      <c r="F13" s="34" t="e">
        <f>'保护建筑(销售商业)'!F13</f>
        <v>#REF!</v>
      </c>
      <c r="G13" s="28" t="e">
        <f t="shared" si="1"/>
        <v>#REF!</v>
      </c>
      <c r="H13" s="28"/>
      <c r="I13" s="43"/>
      <c r="J13" s="43"/>
      <c r="K13" s="43"/>
      <c r="L13" s="43"/>
      <c r="M13" s="58"/>
    </row>
    <row r="14" s="2" customFormat="1" ht="15" customHeight="1" outlineLevel="1" spans="1:13">
      <c r="A14" s="26" t="s">
        <v>622</v>
      </c>
      <c r="B14" s="1828" t="s">
        <v>1552</v>
      </c>
      <c r="C14" s="22" t="s">
        <v>505</v>
      </c>
      <c r="D14" s="347">
        <v>0.1</v>
      </c>
      <c r="E14" s="97" t="e">
        <f>#REF!</f>
        <v>#REF!</v>
      </c>
      <c r="F14" s="34" t="e">
        <f>'保护建筑(销售商业)'!F14</f>
        <v>#REF!</v>
      </c>
      <c r="G14" s="28" t="e">
        <f t="shared" si="1"/>
        <v>#REF!</v>
      </c>
      <c r="H14" s="28" t="e">
        <f>IF(G14=0,"",IF(#REF!=0,"",G14*10000/#REF!))</f>
        <v>#REF!</v>
      </c>
      <c r="I14" s="43"/>
      <c r="J14" s="43"/>
      <c r="K14" s="43"/>
      <c r="L14" s="43"/>
      <c r="M14" s="58"/>
    </row>
    <row r="15" s="2" customFormat="1" ht="15" customHeight="1" outlineLevel="1" spans="1:13">
      <c r="A15" s="26" t="s">
        <v>622</v>
      </c>
      <c r="B15" s="1828" t="s">
        <v>1564</v>
      </c>
      <c r="C15" s="22" t="s">
        <v>505</v>
      </c>
      <c r="D15" s="348"/>
      <c r="E15" s="97"/>
      <c r="F15" s="34"/>
      <c r="G15" s="28" t="e">
        <f>SUM(G16:G19)</f>
        <v>#REF!</v>
      </c>
      <c r="H15" s="28" t="e">
        <f>IF(G15=0,"",IF(#REF!=0,"",G15*10000/#REF!))</f>
        <v>#REF!</v>
      </c>
      <c r="I15" s="43"/>
      <c r="J15" s="43"/>
      <c r="K15" s="43"/>
      <c r="L15" s="43"/>
      <c r="M15" s="58"/>
    </row>
    <row r="16" s="2" customFormat="1" ht="15" customHeight="1" outlineLevel="1" spans="1:13">
      <c r="A16" s="26"/>
      <c r="B16" s="1827" t="s">
        <v>1566</v>
      </c>
      <c r="C16" s="22" t="s">
        <v>505</v>
      </c>
      <c r="D16" s="36">
        <v>1.2</v>
      </c>
      <c r="E16" s="97" t="e">
        <f>#REF!</f>
        <v>#REF!</v>
      </c>
      <c r="F16" s="34" t="e">
        <f>'保护建筑(销售商业)'!F16</f>
        <v>#REF!</v>
      </c>
      <c r="G16" s="28" t="e">
        <f t="shared" ref="G16:G19" si="2">E16*F16*D16/10000</f>
        <v>#REF!</v>
      </c>
      <c r="H16" s="28"/>
      <c r="I16" s="43"/>
      <c r="J16" s="43"/>
      <c r="K16" s="43"/>
      <c r="L16" s="43"/>
      <c r="M16" s="58"/>
    </row>
    <row r="17" s="2" customFormat="1" ht="15" customHeight="1" outlineLevel="1" spans="1:13">
      <c r="A17" s="26"/>
      <c r="B17" s="1827" t="s">
        <v>2484</v>
      </c>
      <c r="C17" s="22" t="s">
        <v>505</v>
      </c>
      <c r="D17" s="36">
        <v>4</v>
      </c>
      <c r="E17" s="97" t="e">
        <f>#REF!</f>
        <v>#REF!</v>
      </c>
      <c r="F17" s="34" t="e">
        <f>'保护建筑(销售商业)'!F17</f>
        <v>#REF!</v>
      </c>
      <c r="G17" s="28" t="e">
        <f t="shared" si="2"/>
        <v>#REF!</v>
      </c>
      <c r="H17" s="28"/>
      <c r="I17" s="43"/>
      <c r="J17" s="43"/>
      <c r="K17" s="43"/>
      <c r="L17" s="43"/>
      <c r="M17" s="58"/>
    </row>
    <row r="18" s="2" customFormat="1" ht="15" customHeight="1" outlineLevel="1" spans="1:13">
      <c r="A18" s="26"/>
      <c r="B18" s="1827" t="s">
        <v>1572</v>
      </c>
      <c r="C18" s="22" t="s">
        <v>505</v>
      </c>
      <c r="D18" s="36">
        <v>2</v>
      </c>
      <c r="E18" s="97" t="e">
        <f>#REF!</f>
        <v>#REF!</v>
      </c>
      <c r="F18" s="34" t="e">
        <f>'保护建筑(销售商业)'!F18</f>
        <v>#REF!</v>
      </c>
      <c r="G18" s="28" t="e">
        <f t="shared" si="2"/>
        <v>#REF!</v>
      </c>
      <c r="H18" s="28"/>
      <c r="I18" s="43"/>
      <c r="J18" s="43"/>
      <c r="K18" s="43"/>
      <c r="L18" s="43"/>
      <c r="M18" s="58"/>
    </row>
    <row r="19" s="2" customFormat="1" ht="15" customHeight="1" outlineLevel="1" spans="1:13">
      <c r="A19" s="26"/>
      <c r="B19" s="1827" t="s">
        <v>2485</v>
      </c>
      <c r="C19" s="22" t="s">
        <v>505</v>
      </c>
      <c r="D19" s="36">
        <v>3.5</v>
      </c>
      <c r="E19" s="97" t="e">
        <f>#REF!</f>
        <v>#REF!</v>
      </c>
      <c r="F19" s="34" t="e">
        <f>'保护建筑(销售商业)'!F19</f>
        <v>#REF!</v>
      </c>
      <c r="G19" s="28" t="e">
        <f t="shared" si="2"/>
        <v>#REF!</v>
      </c>
      <c r="H19" s="28"/>
      <c r="I19" s="43"/>
      <c r="J19" s="43"/>
      <c r="K19" s="43"/>
      <c r="L19" s="43"/>
      <c r="M19" s="58"/>
    </row>
    <row r="20" s="2" customFormat="1" ht="15" customHeight="1" outlineLevel="1" spans="1:13">
      <c r="A20" s="26" t="s">
        <v>622</v>
      </c>
      <c r="B20" s="1828" t="s">
        <v>2266</v>
      </c>
      <c r="C20" s="22" t="s">
        <v>2486</v>
      </c>
      <c r="D20" s="348">
        <v>0.5</v>
      </c>
      <c r="E20" s="97" t="e">
        <f>#REF!</f>
        <v>#REF!</v>
      </c>
      <c r="F20" s="34">
        <f>'保护建筑(销售商业)'!F20</f>
        <v>40</v>
      </c>
      <c r="G20" s="28" t="e">
        <f t="shared" si="1"/>
        <v>#REF!</v>
      </c>
      <c r="H20" s="28" t="e">
        <f>IF(G20=0,"",IF(#REF!=0,"",G20*10000/#REF!))</f>
        <v>#REF!</v>
      </c>
      <c r="I20" s="43"/>
      <c r="J20" s="43"/>
      <c r="K20" s="43"/>
      <c r="L20" s="43"/>
      <c r="M20" s="58"/>
    </row>
    <row r="21" s="2" customFormat="1" ht="15" customHeight="1" outlineLevel="1" spans="1:13">
      <c r="A21" s="26" t="s">
        <v>622</v>
      </c>
      <c r="B21" s="27" t="s">
        <v>1275</v>
      </c>
      <c r="C21" s="22"/>
      <c r="D21" s="347"/>
      <c r="E21" s="97"/>
      <c r="F21" s="34"/>
      <c r="G21" s="28" t="e">
        <f>SUM(G22:G25)</f>
        <v>#REF!</v>
      </c>
      <c r="H21" s="28" t="e">
        <f>IF(G21=0,"",IF(#REF!=0,"",G21*10000/#REF!))</f>
        <v>#REF!</v>
      </c>
      <c r="I21" s="43"/>
      <c r="J21" s="43"/>
      <c r="K21" s="43"/>
      <c r="L21" s="43"/>
      <c r="M21" s="58"/>
    </row>
    <row r="22" s="2" customFormat="1" ht="15" customHeight="1" outlineLevel="1" spans="1:13">
      <c r="A22" s="26"/>
      <c r="B22" s="1829" t="s">
        <v>2274</v>
      </c>
      <c r="C22" s="22" t="s">
        <v>505</v>
      </c>
      <c r="D22" s="348">
        <v>1</v>
      </c>
      <c r="E22" s="97" t="e">
        <f>#REF!</f>
        <v>#REF!</v>
      </c>
      <c r="F22" s="34">
        <f>'保护建筑(销售商业)'!F22</f>
        <v>5000</v>
      </c>
      <c r="G22" s="28" t="e">
        <f t="shared" si="1"/>
        <v>#REF!</v>
      </c>
      <c r="H22" s="28" t="e">
        <f>IF(G22=0,"",IF(#REF!=0,"",G22*10000/#REF!))</f>
        <v>#REF!</v>
      </c>
      <c r="I22" s="43"/>
      <c r="J22" s="43"/>
      <c r="K22" s="43"/>
      <c r="L22" s="43"/>
      <c r="M22" s="58" t="s">
        <v>2487</v>
      </c>
    </row>
    <row r="23" s="2" customFormat="1" ht="15" customHeight="1" outlineLevel="1" spans="1:13">
      <c r="A23" s="26"/>
      <c r="B23" s="1829" t="s">
        <v>2275</v>
      </c>
      <c r="C23" s="22" t="s">
        <v>505</v>
      </c>
      <c r="D23" s="349">
        <v>0.03</v>
      </c>
      <c r="E23" s="97" t="e">
        <f>#REF!</f>
        <v>#REF!</v>
      </c>
      <c r="F23" s="34" t="e">
        <f>'保护建筑(销售商业)'!F23</f>
        <v>#REF!</v>
      </c>
      <c r="G23" s="28" t="e">
        <f t="shared" si="1"/>
        <v>#REF!</v>
      </c>
      <c r="H23" s="28"/>
      <c r="I23" s="43"/>
      <c r="J23" s="43"/>
      <c r="K23" s="43"/>
      <c r="L23" s="43"/>
      <c r="M23" s="61"/>
    </row>
    <row r="24" s="2" customFormat="1" ht="15" customHeight="1" outlineLevel="1" spans="1:13">
      <c r="A24" s="26"/>
      <c r="B24" s="1829" t="s">
        <v>2488</v>
      </c>
      <c r="C24" s="22"/>
      <c r="D24" s="348">
        <v>1</v>
      </c>
      <c r="E24" s="97" t="e">
        <f>#REF!</f>
        <v>#REF!</v>
      </c>
      <c r="F24" s="34">
        <f>'保护建筑(销售商业)'!F24</f>
        <v>32</v>
      </c>
      <c r="G24" s="28" t="e">
        <f t="shared" si="1"/>
        <v>#REF!</v>
      </c>
      <c r="H24" s="28"/>
      <c r="I24" s="43"/>
      <c r="J24" s="43"/>
      <c r="K24" s="43"/>
      <c r="L24" s="43"/>
      <c r="M24" s="58"/>
    </row>
    <row r="25" s="2" customFormat="1" ht="15" customHeight="1" outlineLevel="1" spans="1:13">
      <c r="A25" s="26"/>
      <c r="B25" s="34" t="s">
        <v>2489</v>
      </c>
      <c r="C25" s="22" t="s">
        <v>505</v>
      </c>
      <c r="D25" s="348">
        <v>1</v>
      </c>
      <c r="E25" s="97" t="e">
        <f>#REF!</f>
        <v>#REF!</v>
      </c>
      <c r="F25" s="34">
        <f>'保护建筑(销售商业)'!F25</f>
        <v>100</v>
      </c>
      <c r="G25" s="28" t="e">
        <f t="shared" si="1"/>
        <v>#REF!</v>
      </c>
      <c r="H25" s="28"/>
      <c r="I25" s="43"/>
      <c r="J25" s="43"/>
      <c r="K25" s="43"/>
      <c r="L25" s="43"/>
      <c r="M25" s="58"/>
    </row>
    <row r="26" s="2" customFormat="1" ht="15" customHeight="1" spans="1:13">
      <c r="A26" s="1825" t="s">
        <v>2336</v>
      </c>
      <c r="B26" s="15" t="s">
        <v>1803</v>
      </c>
      <c r="C26" s="16"/>
      <c r="D26" s="88"/>
      <c r="E26" s="346"/>
      <c r="F26" s="88"/>
      <c r="G26" s="18" t="e">
        <f>SUM(G27:G27)</f>
        <v>#REF!</v>
      </c>
      <c r="H26" s="18" t="e">
        <f>IF(G26=0,"",IF(#REF!=0,"",G26*10000/#REF!))</f>
        <v>#REF!</v>
      </c>
      <c r="I26" s="57"/>
      <c r="J26" s="57"/>
      <c r="K26" s="57"/>
      <c r="L26" s="57"/>
      <c r="M26" s="58"/>
    </row>
    <row r="27" s="2" customFormat="1" ht="15" customHeight="1" outlineLevel="1" spans="1:13">
      <c r="A27" s="26" t="s">
        <v>622</v>
      </c>
      <c r="B27" s="45" t="s">
        <v>2490</v>
      </c>
      <c r="C27" s="21" t="s">
        <v>505</v>
      </c>
      <c r="D27" s="36">
        <v>1</v>
      </c>
      <c r="E27" s="97" t="e">
        <f>#REF!</f>
        <v>#REF!</v>
      </c>
      <c r="F27" s="34">
        <f>'保护建筑(销售商业)'!F27</f>
        <v>100</v>
      </c>
      <c r="G27" s="28" t="e">
        <f>D27*E27*F27/10000</f>
        <v>#REF!</v>
      </c>
      <c r="H27" s="28" t="e">
        <f>IF(G27=0,"",IF(#REF!=0,"",G27*10000/#REF!))</f>
        <v>#REF!</v>
      </c>
      <c r="I27" s="43"/>
      <c r="J27" s="43"/>
      <c r="K27" s="43"/>
      <c r="L27" s="43"/>
      <c r="M27" s="61"/>
    </row>
    <row r="28" s="2" customFormat="1" ht="15" customHeight="1" spans="1:13">
      <c r="A28" s="1825" t="s">
        <v>2340</v>
      </c>
      <c r="B28" s="15" t="s">
        <v>2308</v>
      </c>
      <c r="C28" s="345"/>
      <c r="D28" s="88">
        <v>1</v>
      </c>
      <c r="E28" s="97" t="e">
        <f>#REF!</f>
        <v>#REF!</v>
      </c>
      <c r="F28" s="34">
        <f>'保护建筑(销售商业)'!F28</f>
        <v>800</v>
      </c>
      <c r="G28" s="18" t="e">
        <f>D28*E28*F28/10000</f>
        <v>#REF!</v>
      </c>
      <c r="H28" s="18" t="e">
        <f>IF(G28=0,"",IF(#REF!=0,"",G28*10000/#REF!))</f>
        <v>#REF!</v>
      </c>
      <c r="I28" s="57"/>
      <c r="J28" s="57"/>
      <c r="K28" s="57"/>
      <c r="L28" s="57"/>
      <c r="M28" s="61"/>
    </row>
    <row r="29" s="2" customFormat="1" ht="15" hidden="1" customHeight="1" outlineLevel="1" spans="1:13">
      <c r="A29" s="19" t="s">
        <v>622</v>
      </c>
      <c r="B29" s="45" t="s">
        <v>2341</v>
      </c>
      <c r="C29" s="21" t="s">
        <v>505</v>
      </c>
      <c r="D29" s="36">
        <v>1</v>
      </c>
      <c r="E29" s="97" t="e">
        <f>#REF!</f>
        <v>#REF!</v>
      </c>
      <c r="F29" s="36">
        <v>22</v>
      </c>
      <c r="G29" s="28" t="e">
        <f>E29*F29*D29/10000</f>
        <v>#REF!</v>
      </c>
      <c r="H29" s="28" t="e">
        <f>IF(G29=0,"",IF(#REF!=0,"",G29*10000/#REF!))</f>
        <v>#REF!</v>
      </c>
      <c r="I29" s="43"/>
      <c r="J29" s="43"/>
      <c r="K29" s="43"/>
      <c r="L29" s="43"/>
      <c r="M29" s="58"/>
    </row>
    <row r="30" s="2" customFormat="1" ht="15" hidden="1" customHeight="1" outlineLevel="1" spans="1:13">
      <c r="A30" s="19" t="s">
        <v>622</v>
      </c>
      <c r="B30" s="45" t="s">
        <v>2312</v>
      </c>
      <c r="C30" s="21" t="s">
        <v>505</v>
      </c>
      <c r="D30" s="36">
        <v>1</v>
      </c>
      <c r="E30" s="97" t="e">
        <f>#REF!</f>
        <v>#REF!</v>
      </c>
      <c r="F30" s="36">
        <v>45</v>
      </c>
      <c r="G30" s="28" t="e">
        <f t="shared" ref="G30:G36" si="3">E30*F30*D30/10000</f>
        <v>#REF!</v>
      </c>
      <c r="H30" s="28" t="e">
        <f>IF(G30=0,"",IF(#REF!=0,"",G30*10000/#REF!))</f>
        <v>#REF!</v>
      </c>
      <c r="I30" s="43"/>
      <c r="J30" s="43"/>
      <c r="K30" s="43"/>
      <c r="L30" s="43"/>
      <c r="M30" s="58"/>
    </row>
    <row r="31" s="2" customFormat="1" ht="15" hidden="1" customHeight="1" outlineLevel="1" spans="1:13">
      <c r="A31" s="19" t="s">
        <v>622</v>
      </c>
      <c r="B31" s="45" t="s">
        <v>2297</v>
      </c>
      <c r="C31" s="21" t="s">
        <v>505</v>
      </c>
      <c r="D31" s="36">
        <v>1</v>
      </c>
      <c r="E31" s="97" t="e">
        <f>#REF!</f>
        <v>#REF!</v>
      </c>
      <c r="F31" s="36">
        <v>27</v>
      </c>
      <c r="G31" s="28" t="e">
        <f t="shared" si="3"/>
        <v>#REF!</v>
      </c>
      <c r="H31" s="28" t="e">
        <f>IF(G31=0,"",IF(#REF!=0,"",G31*10000/#REF!))</f>
        <v>#REF!</v>
      </c>
      <c r="I31" s="43"/>
      <c r="J31" s="43"/>
      <c r="K31" s="43"/>
      <c r="L31" s="43"/>
      <c r="M31" s="58"/>
    </row>
    <row r="32" s="2" customFormat="1" ht="15" hidden="1" customHeight="1" outlineLevel="1" spans="1:13">
      <c r="A32" s="19" t="s">
        <v>622</v>
      </c>
      <c r="B32" s="45" t="s">
        <v>2344</v>
      </c>
      <c r="C32" s="21" t="s">
        <v>505</v>
      </c>
      <c r="D32" s="36">
        <v>1</v>
      </c>
      <c r="E32" s="97" t="e">
        <f>#REF!</f>
        <v>#REF!</v>
      </c>
      <c r="F32" s="36">
        <v>25</v>
      </c>
      <c r="G32" s="28" t="e">
        <f t="shared" si="3"/>
        <v>#REF!</v>
      </c>
      <c r="H32" s="28" t="e">
        <f>IF(G32=0,"",IF(#REF!=0,"",G32*10000/#REF!))</f>
        <v>#REF!</v>
      </c>
      <c r="I32" s="43"/>
      <c r="J32" s="43"/>
      <c r="K32" s="43"/>
      <c r="L32" s="43"/>
      <c r="M32" s="58"/>
    </row>
    <row r="33" s="2" customFormat="1" ht="15" hidden="1" customHeight="1" outlineLevel="1" spans="1:13">
      <c r="A33" s="19" t="s">
        <v>622</v>
      </c>
      <c r="B33" s="45" t="s">
        <v>2311</v>
      </c>
      <c r="C33" s="21" t="s">
        <v>505</v>
      </c>
      <c r="D33" s="36">
        <v>1</v>
      </c>
      <c r="E33" s="97" t="e">
        <f>#REF!</f>
        <v>#REF!</v>
      </c>
      <c r="F33" s="36">
        <v>2</v>
      </c>
      <c r="G33" s="28" t="e">
        <f t="shared" si="3"/>
        <v>#REF!</v>
      </c>
      <c r="H33" s="28" t="e">
        <f>IF(G33=0,"",IF(#REF!=0,"",G33*10000/#REF!))</f>
        <v>#REF!</v>
      </c>
      <c r="I33" s="43"/>
      <c r="J33" s="43"/>
      <c r="K33" s="43"/>
      <c r="L33" s="43"/>
      <c r="M33" s="58"/>
    </row>
    <row r="34" s="2" customFormat="1" ht="15" hidden="1" customHeight="1" outlineLevel="1" spans="1:13">
      <c r="A34" s="19" t="s">
        <v>622</v>
      </c>
      <c r="B34" s="45" t="s">
        <v>2345</v>
      </c>
      <c r="C34" s="21" t="s">
        <v>505</v>
      </c>
      <c r="D34" s="36">
        <v>1</v>
      </c>
      <c r="E34" s="97" t="e">
        <f>#REF!</f>
        <v>#REF!</v>
      </c>
      <c r="F34" s="36">
        <v>2</v>
      </c>
      <c r="G34" s="28" t="e">
        <f t="shared" si="3"/>
        <v>#REF!</v>
      </c>
      <c r="H34" s="28" t="e">
        <f>IF(G34=0,"",IF(#REF!=0,"",G34*10000/#REF!))</f>
        <v>#REF!</v>
      </c>
      <c r="I34" s="43"/>
      <c r="J34" s="43"/>
      <c r="K34" s="43"/>
      <c r="L34" s="43"/>
      <c r="M34" s="58"/>
    </row>
    <row r="35" s="2" customFormat="1" ht="15" hidden="1" customHeight="1" outlineLevel="1" spans="1:13">
      <c r="A35" s="19" t="s">
        <v>622</v>
      </c>
      <c r="B35" s="45" t="s">
        <v>2306</v>
      </c>
      <c r="C35" s="21" t="s">
        <v>505</v>
      </c>
      <c r="D35" s="36">
        <v>1</v>
      </c>
      <c r="E35" s="97" t="e">
        <f>#REF!</f>
        <v>#REF!</v>
      </c>
      <c r="F35" s="36">
        <v>50</v>
      </c>
      <c r="G35" s="28" t="e">
        <f t="shared" si="3"/>
        <v>#REF!</v>
      </c>
      <c r="H35" s="28" t="e">
        <f>IF(G35=0,"",IF(#REF!=0,"",G35*10000/#REF!))</f>
        <v>#REF!</v>
      </c>
      <c r="I35" s="43"/>
      <c r="J35" s="43"/>
      <c r="K35" s="43"/>
      <c r="L35" s="43"/>
      <c r="M35" s="58"/>
    </row>
    <row r="36" s="2" customFormat="1" ht="15" hidden="1" customHeight="1" outlineLevel="1" spans="1:13">
      <c r="A36" s="19" t="s">
        <v>622</v>
      </c>
      <c r="B36" s="45" t="s">
        <v>2491</v>
      </c>
      <c r="C36" s="21" t="s">
        <v>505</v>
      </c>
      <c r="D36" s="36">
        <v>0.7</v>
      </c>
      <c r="E36" s="97" t="e">
        <f>#REF!</f>
        <v>#REF!</v>
      </c>
      <c r="F36" s="36">
        <v>80</v>
      </c>
      <c r="G36" s="28" t="e">
        <f t="shared" si="3"/>
        <v>#REF!</v>
      </c>
      <c r="H36" s="28" t="e">
        <f>IF(G36=0,"",IF(#REF!=0,"",G36*10000/#REF!))</f>
        <v>#REF!</v>
      </c>
      <c r="I36" s="43"/>
      <c r="J36" s="43"/>
      <c r="K36" s="43"/>
      <c r="L36" s="43"/>
      <c r="M36" s="58"/>
    </row>
    <row r="37" s="2" customFormat="1" ht="15" customHeight="1" collapsed="1" spans="1:13">
      <c r="A37" s="1825" t="s">
        <v>2347</v>
      </c>
      <c r="B37" s="15" t="s">
        <v>1705</v>
      </c>
      <c r="C37" s="345"/>
      <c r="D37" s="88">
        <v>1</v>
      </c>
      <c r="E37" s="97" t="e">
        <f>#REF!</f>
        <v>#REF!</v>
      </c>
      <c r="F37" s="34">
        <f>'保护建筑(销售商业)'!F37</f>
        <v>50</v>
      </c>
      <c r="G37" s="18" t="e">
        <f>D37*E37*F37/10000</f>
        <v>#REF!</v>
      </c>
      <c r="H37" s="18" t="e">
        <f>IF(G37=0,"",IF(#REF!=0,"",G37*10000/#REF!))</f>
        <v>#REF!</v>
      </c>
      <c r="I37" s="57"/>
      <c r="J37" s="57"/>
      <c r="K37" s="57"/>
      <c r="L37" s="57"/>
      <c r="M37" s="62"/>
    </row>
    <row r="38" s="2" customFormat="1" ht="15" customHeight="1" spans="1:13">
      <c r="A38" s="10" t="s">
        <v>2348</v>
      </c>
      <c r="B38" s="11" t="s">
        <v>2349</v>
      </c>
      <c r="C38" s="11"/>
      <c r="D38" s="87"/>
      <c r="E38" s="350"/>
      <c r="F38" s="87"/>
      <c r="G38" s="13" t="e">
        <f>G39+G50+G54</f>
        <v>#REF!</v>
      </c>
      <c r="H38" s="13" t="e">
        <f>IF(G38=0,"",IF(#REF!=0,"",G38*10000/#REF!))</f>
        <v>#REF!</v>
      </c>
      <c r="I38" s="357"/>
      <c r="J38" s="357"/>
      <c r="K38" s="357"/>
      <c r="L38" s="357"/>
      <c r="M38" s="63"/>
    </row>
    <row r="39" s="2" customFormat="1" ht="15" customHeight="1" spans="1:13">
      <c r="A39" s="1825" t="s">
        <v>2247</v>
      </c>
      <c r="B39" s="15" t="s">
        <v>2279</v>
      </c>
      <c r="C39" s="345"/>
      <c r="D39" s="88"/>
      <c r="E39" s="346"/>
      <c r="F39" s="88"/>
      <c r="G39" s="18" t="e">
        <f>G40+G45+G44</f>
        <v>#REF!</v>
      </c>
      <c r="H39" s="18" t="e">
        <f>IF(G39=0,"",IF(#REF!=0,"",G39*10000/#REF!))</f>
        <v>#REF!</v>
      </c>
      <c r="I39" s="57"/>
      <c r="J39" s="57"/>
      <c r="K39" s="57"/>
      <c r="L39" s="57"/>
      <c r="M39" s="58"/>
    </row>
    <row r="40" s="2" customFormat="1" ht="15" customHeight="1" outlineLevel="1" spans="1:13">
      <c r="A40" s="19" t="s">
        <v>622</v>
      </c>
      <c r="B40" s="20" t="s">
        <v>2280</v>
      </c>
      <c r="C40" s="22" t="s">
        <v>505</v>
      </c>
      <c r="D40" s="49"/>
      <c r="E40" s="97"/>
      <c r="F40" s="36"/>
      <c r="G40" s="28" t="e">
        <f>SUM(G41:G43)</f>
        <v>#REF!</v>
      </c>
      <c r="H40" s="28" t="e">
        <f>IF(G40=0,"",IF(#REF!=0,"",G40*10000/#REF!))</f>
        <v>#REF!</v>
      </c>
      <c r="I40" s="43"/>
      <c r="J40" s="43"/>
      <c r="K40" s="43"/>
      <c r="L40" s="43"/>
      <c r="M40" s="58"/>
    </row>
    <row r="41" s="2" customFormat="1" ht="15" customHeight="1" outlineLevel="1" spans="1:13">
      <c r="A41" s="19"/>
      <c r="B41" s="45" t="s">
        <v>2477</v>
      </c>
      <c r="C41" s="21" t="s">
        <v>505</v>
      </c>
      <c r="D41" s="21">
        <v>1</v>
      </c>
      <c r="E41" s="97" t="e">
        <f>#REF!</f>
        <v>#REF!</v>
      </c>
      <c r="F41" s="34">
        <f>'保护建筑(销售商业)'!F41</f>
        <v>30</v>
      </c>
      <c r="G41" s="28" t="e">
        <f t="shared" ref="G41:G49" si="4">D41*E41*F41/10000</f>
        <v>#REF!</v>
      </c>
      <c r="H41" s="28"/>
      <c r="I41" s="43"/>
      <c r="J41" s="43"/>
      <c r="K41" s="43"/>
      <c r="L41" s="43"/>
      <c r="M41" s="58"/>
    </row>
    <row r="42" s="2" customFormat="1" ht="15" customHeight="1" outlineLevel="1" spans="1:13">
      <c r="A42" s="19"/>
      <c r="B42" s="45" t="s">
        <v>2478</v>
      </c>
      <c r="C42" s="21" t="s">
        <v>505</v>
      </c>
      <c r="D42" s="21">
        <v>1</v>
      </c>
      <c r="E42" s="97" t="e">
        <f>#REF!</f>
        <v>#REF!</v>
      </c>
      <c r="F42" s="34">
        <f>'保护建筑(销售商业)'!F42</f>
        <v>5</v>
      </c>
      <c r="G42" s="28" t="e">
        <f t="shared" si="4"/>
        <v>#REF!</v>
      </c>
      <c r="H42" s="28"/>
      <c r="I42" s="43"/>
      <c r="J42" s="43"/>
      <c r="K42" s="43"/>
      <c r="L42" s="43"/>
      <c r="M42" s="58"/>
    </row>
    <row r="43" s="2" customFormat="1" ht="15" customHeight="1" outlineLevel="1" spans="1:13">
      <c r="A43" s="19"/>
      <c r="B43" s="45" t="s">
        <v>2479</v>
      </c>
      <c r="C43" s="21" t="s">
        <v>505</v>
      </c>
      <c r="D43" s="21">
        <v>1</v>
      </c>
      <c r="E43" s="97" t="e">
        <f>#REF!</f>
        <v>#REF!</v>
      </c>
      <c r="F43" s="34">
        <f>'保护建筑(销售商业)'!F43</f>
        <v>5</v>
      </c>
      <c r="G43" s="28" t="e">
        <f t="shared" si="4"/>
        <v>#REF!</v>
      </c>
      <c r="H43" s="28"/>
      <c r="I43" s="43"/>
      <c r="J43" s="43"/>
      <c r="K43" s="43"/>
      <c r="L43" s="43"/>
      <c r="M43" s="58"/>
    </row>
    <row r="44" s="2" customFormat="1" ht="16.5" customHeight="1" outlineLevel="1" spans="1:13">
      <c r="A44" s="19" t="s">
        <v>622</v>
      </c>
      <c r="B44" s="20" t="s">
        <v>2284</v>
      </c>
      <c r="C44" s="21" t="s">
        <v>505</v>
      </c>
      <c r="D44" s="21">
        <v>1</v>
      </c>
      <c r="E44" s="97" t="e">
        <f>#REF!</f>
        <v>#REF!</v>
      </c>
      <c r="F44" s="36"/>
      <c r="G44" s="28" t="e">
        <f t="shared" si="4"/>
        <v>#REF!</v>
      </c>
      <c r="H44" s="28" t="e">
        <f>IF(G44=0,"",IF(#REF!=0,"",G44*10000/#REF!))</f>
        <v>#REF!</v>
      </c>
      <c r="I44" s="43"/>
      <c r="J44" s="43"/>
      <c r="K44" s="43"/>
      <c r="L44" s="43"/>
      <c r="M44" s="58"/>
    </row>
    <row r="45" s="2" customFormat="1" ht="15" customHeight="1" outlineLevel="1" spans="1:13">
      <c r="A45" s="19" t="s">
        <v>622</v>
      </c>
      <c r="B45" s="20" t="s">
        <v>2285</v>
      </c>
      <c r="C45" s="22" t="s">
        <v>505</v>
      </c>
      <c r="D45" s="49"/>
      <c r="E45" s="97"/>
      <c r="F45" s="36"/>
      <c r="G45" s="28" t="e">
        <f>SUM(G46:G49)</f>
        <v>#REF!</v>
      </c>
      <c r="H45" s="28" t="e">
        <f>IF(G45=0,"",IF(#REF!=0,"",G45*10000/#REF!))</f>
        <v>#REF!</v>
      </c>
      <c r="I45" s="43"/>
      <c r="J45" s="43"/>
      <c r="K45" s="43"/>
      <c r="L45" s="43"/>
      <c r="M45" s="74"/>
    </row>
    <row r="46" s="2" customFormat="1" ht="15" customHeight="1" outlineLevel="1" spans="1:13">
      <c r="A46" s="19"/>
      <c r="B46" s="45" t="s">
        <v>2356</v>
      </c>
      <c r="C46" s="21" t="s">
        <v>505</v>
      </c>
      <c r="D46" s="21">
        <v>1</v>
      </c>
      <c r="E46" s="97" t="e">
        <f>#REF!</f>
        <v>#REF!</v>
      </c>
      <c r="F46" s="34">
        <f>'保护建筑(销售商业)'!F46</f>
        <v>40</v>
      </c>
      <c r="G46" s="28" t="e">
        <f t="shared" si="4"/>
        <v>#REF!</v>
      </c>
      <c r="H46" s="28"/>
      <c r="I46" s="43"/>
      <c r="J46" s="43"/>
      <c r="K46" s="43"/>
      <c r="L46" s="43"/>
      <c r="M46" s="58"/>
    </row>
    <row r="47" s="2" customFormat="1" ht="15" customHeight="1" outlineLevel="1" spans="1:13">
      <c r="A47" s="19"/>
      <c r="B47" s="45" t="s">
        <v>2480</v>
      </c>
      <c r="C47" s="21" t="s">
        <v>505</v>
      </c>
      <c r="D47" s="21">
        <v>1</v>
      </c>
      <c r="E47" s="97" t="e">
        <f>#REF!</f>
        <v>#REF!</v>
      </c>
      <c r="F47" s="34">
        <f>'保护建筑(销售商业)'!F47</f>
        <v>10</v>
      </c>
      <c r="G47" s="28" t="e">
        <f t="shared" si="4"/>
        <v>#REF!</v>
      </c>
      <c r="H47" s="28"/>
      <c r="I47" s="43"/>
      <c r="J47" s="43"/>
      <c r="K47" s="43"/>
      <c r="L47" s="43"/>
      <c r="M47" s="58"/>
    </row>
    <row r="48" s="2" customFormat="1" ht="15" customHeight="1" outlineLevel="1" spans="1:13">
      <c r="A48" s="19"/>
      <c r="B48" s="45" t="s">
        <v>2481</v>
      </c>
      <c r="C48" s="21" t="s">
        <v>505</v>
      </c>
      <c r="D48" s="21">
        <v>1</v>
      </c>
      <c r="E48" s="97" t="e">
        <f>#REF!</f>
        <v>#REF!</v>
      </c>
      <c r="F48" s="34">
        <f>'保护建筑(销售商业)'!F48</f>
        <v>20</v>
      </c>
      <c r="G48" s="28" t="e">
        <f t="shared" si="4"/>
        <v>#REF!</v>
      </c>
      <c r="H48" s="28"/>
      <c r="I48" s="43"/>
      <c r="J48" s="43"/>
      <c r="K48" s="43"/>
      <c r="L48" s="43"/>
      <c r="M48" s="58"/>
    </row>
    <row r="49" s="2" customFormat="1" ht="15" customHeight="1" outlineLevel="1" spans="1:13">
      <c r="A49" s="19"/>
      <c r="B49" s="45" t="s">
        <v>2358</v>
      </c>
      <c r="C49" s="21" t="s">
        <v>601</v>
      </c>
      <c r="D49" s="21">
        <v>1</v>
      </c>
      <c r="E49" s="97" t="e">
        <f>#REF!</f>
        <v>#REF!</v>
      </c>
      <c r="F49" s="34">
        <f>'保护建筑(销售商业)'!F49</f>
        <v>10</v>
      </c>
      <c r="G49" s="28" t="e">
        <f t="shared" si="4"/>
        <v>#REF!</v>
      </c>
      <c r="H49" s="28"/>
      <c r="I49" s="43"/>
      <c r="J49" s="43"/>
      <c r="K49" s="43"/>
      <c r="L49" s="43"/>
      <c r="M49" s="58"/>
    </row>
    <row r="50" s="2" customFormat="1" ht="15" customHeight="1" spans="1:13">
      <c r="A50" s="1825" t="s">
        <v>2257</v>
      </c>
      <c r="B50" s="15" t="s">
        <v>2291</v>
      </c>
      <c r="C50" s="345"/>
      <c r="D50" s="351"/>
      <c r="E50" s="97"/>
      <c r="F50" s="88"/>
      <c r="G50" s="18" t="e">
        <f>SUM(G51:G53)</f>
        <v>#REF!</v>
      </c>
      <c r="H50" s="18" t="e">
        <f>IF(G50=0,"",IF(#REF!=0,"",G50*10000/#REF!))</f>
        <v>#REF!</v>
      </c>
      <c r="I50" s="57"/>
      <c r="J50" s="57"/>
      <c r="K50" s="57"/>
      <c r="L50" s="57"/>
      <c r="M50" s="61" t="s">
        <v>2492</v>
      </c>
    </row>
    <row r="51" s="2" customFormat="1" ht="15" customHeight="1" outlineLevel="1" spans="1:13">
      <c r="A51" s="19" t="s">
        <v>622</v>
      </c>
      <c r="B51" s="20" t="s">
        <v>2293</v>
      </c>
      <c r="C51" s="352" t="s">
        <v>602</v>
      </c>
      <c r="D51" s="21">
        <v>1</v>
      </c>
      <c r="E51" s="97" t="e">
        <f>#REF!</f>
        <v>#REF!</v>
      </c>
      <c r="F51" s="34">
        <f>'保护建筑(销售商业)'!F51</f>
        <v>100</v>
      </c>
      <c r="G51" s="28" t="e">
        <f t="shared" ref="G51:G54" si="5">D51*E51*F51/10000</f>
        <v>#REF!</v>
      </c>
      <c r="H51" s="28" t="e">
        <f>IF(G51=0,"",IF(#REF!=0,"",G51*10000/#REF!))</f>
        <v>#REF!</v>
      </c>
      <c r="I51" s="43"/>
      <c r="J51" s="43"/>
      <c r="K51" s="43"/>
      <c r="L51" s="43"/>
      <c r="M51" s="58"/>
    </row>
    <row r="52" s="2" customFormat="1" ht="15" customHeight="1" outlineLevel="1" spans="1:13">
      <c r="A52" s="19" t="s">
        <v>622</v>
      </c>
      <c r="B52" s="353" t="s">
        <v>2493</v>
      </c>
      <c r="C52" s="352"/>
      <c r="D52" s="36"/>
      <c r="E52" s="97" t="e">
        <f>#REF!</f>
        <v>#REF!</v>
      </c>
      <c r="F52" s="36"/>
      <c r="G52" s="28" t="e">
        <f t="shared" ref="G52:G57" si="6">E52*F52/10000</f>
        <v>#REF!</v>
      </c>
      <c r="H52" s="28" t="e">
        <f>IF(G52=0,"",IF(#REF!=0,"",G52*10000/#REF!))</f>
        <v>#REF!</v>
      </c>
      <c r="I52" s="43"/>
      <c r="J52" s="43"/>
      <c r="K52" s="43"/>
      <c r="L52" s="43"/>
      <c r="M52" s="58"/>
    </row>
    <row r="53" s="2" customFormat="1" ht="15" customHeight="1" outlineLevel="1" spans="1:13">
      <c r="A53" s="19" t="s">
        <v>622</v>
      </c>
      <c r="B53" s="20" t="s">
        <v>2295</v>
      </c>
      <c r="C53" s="20" t="s">
        <v>505</v>
      </c>
      <c r="D53" s="21">
        <v>1</v>
      </c>
      <c r="E53" s="97" t="e">
        <f>#REF!</f>
        <v>#REF!</v>
      </c>
      <c r="F53" s="34">
        <f>'保护建筑(销售商业)'!F53</f>
        <v>150</v>
      </c>
      <c r="G53" s="28" t="e">
        <f t="shared" si="5"/>
        <v>#REF!</v>
      </c>
      <c r="H53" s="28" t="e">
        <f>IF(G53=0,"",IF(#REF!=0,"",G53*10000/#REF!))</f>
        <v>#REF!</v>
      </c>
      <c r="I53" s="43"/>
      <c r="J53" s="43"/>
      <c r="K53" s="43"/>
      <c r="L53" s="43"/>
      <c r="M53" s="58"/>
    </row>
    <row r="54" s="2" customFormat="1" ht="15" customHeight="1" spans="1:13">
      <c r="A54" s="1825" t="s">
        <v>2362</v>
      </c>
      <c r="B54" s="15" t="s">
        <v>2363</v>
      </c>
      <c r="C54" s="345"/>
      <c r="D54" s="351">
        <v>1</v>
      </c>
      <c r="E54" s="97" t="e">
        <f>#REF!</f>
        <v>#REF!</v>
      </c>
      <c r="F54" s="34">
        <f>'保护建筑(销售商业)'!F54</f>
        <v>120</v>
      </c>
      <c r="G54" s="18" t="e">
        <f t="shared" si="5"/>
        <v>#REF!</v>
      </c>
      <c r="H54" s="18" t="e">
        <f>IF(G54=0,"",IF(#REF!=0,"",G54*10000/#REF!))</f>
        <v>#REF!</v>
      </c>
      <c r="I54" s="57"/>
      <c r="J54" s="57"/>
      <c r="K54" s="57"/>
      <c r="L54" s="57"/>
      <c r="M54" s="74" t="s">
        <v>2364</v>
      </c>
    </row>
    <row r="55" s="2" customFormat="1" ht="15" hidden="1" customHeight="1" outlineLevel="1" spans="1:13">
      <c r="A55" s="19" t="s">
        <v>622</v>
      </c>
      <c r="B55" s="20" t="s">
        <v>2365</v>
      </c>
      <c r="C55" s="352" t="s">
        <v>601</v>
      </c>
      <c r="D55" s="21">
        <v>1</v>
      </c>
      <c r="E55" s="97"/>
      <c r="F55" s="36"/>
      <c r="G55" s="28">
        <f t="shared" si="6"/>
        <v>0</v>
      </c>
      <c r="H55" s="141" t="str">
        <f>IF(G55=0,"",IF(#REF!=0,"",G55*10000/#REF!))</f>
        <v/>
      </c>
      <c r="I55" s="158"/>
      <c r="J55" s="158"/>
      <c r="K55" s="158"/>
      <c r="L55" s="158"/>
      <c r="M55" s="58" t="s">
        <v>2494</v>
      </c>
    </row>
    <row r="56" s="2" customFormat="1" ht="15" hidden="1" customHeight="1" outlineLevel="1" spans="1:13">
      <c r="A56" s="19" t="s">
        <v>622</v>
      </c>
      <c r="B56" s="20" t="s">
        <v>2367</v>
      </c>
      <c r="C56" s="352" t="s">
        <v>601</v>
      </c>
      <c r="D56" s="21">
        <v>1</v>
      </c>
      <c r="E56" s="97"/>
      <c r="F56" s="36"/>
      <c r="G56" s="28">
        <f t="shared" si="6"/>
        <v>0</v>
      </c>
      <c r="H56" s="141" t="str">
        <f>IF(G56=0,"",IF(#REF!=0,"",G56*10000/#REF!))</f>
        <v/>
      </c>
      <c r="I56" s="158"/>
      <c r="J56" s="158"/>
      <c r="K56" s="158"/>
      <c r="L56" s="158"/>
      <c r="M56" s="58"/>
    </row>
    <row r="57" s="2" customFormat="1" ht="15" hidden="1" customHeight="1" outlineLevel="1" spans="1:13">
      <c r="A57" s="68" t="s">
        <v>622</v>
      </c>
      <c r="B57" s="69" t="s">
        <v>2368</v>
      </c>
      <c r="C57" s="354" t="s">
        <v>601</v>
      </c>
      <c r="D57" s="99"/>
      <c r="E57" s="355"/>
      <c r="F57" s="99"/>
      <c r="G57" s="73">
        <f t="shared" si="6"/>
        <v>0</v>
      </c>
      <c r="H57" s="356" t="s">
        <v>511</v>
      </c>
      <c r="I57" s="358"/>
      <c r="J57" s="358"/>
      <c r="K57" s="358"/>
      <c r="L57" s="358"/>
      <c r="M57" s="76" t="s">
        <v>2495</v>
      </c>
    </row>
    <row r="58" collapsed="1"/>
  </sheetData>
  <mergeCells count="1">
    <mergeCell ref="C1:E1"/>
  </mergeCells>
  <pageMargins left="0.75" right="0.75" top="1" bottom="1" header="0.5" footer="0.5"/>
  <pageSetup paperSize="9" orientation="portrait"/>
  <headerFooter alignWithMargins="0"/>
  <legacyDrawing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46"/>
  </sheetPr>
  <dimension ref="A1:M76"/>
  <sheetViews>
    <sheetView zoomScale="130" zoomScaleNormal="130" topLeftCell="A37" workbookViewId="0">
      <selection activeCell="H3" sqref="H3:H73"/>
    </sheetView>
  </sheetViews>
  <sheetFormatPr defaultColWidth="9" defaultRowHeight="12"/>
  <cols>
    <col min="1" max="1" width="4.6" style="4" customWidth="1"/>
    <col min="2" max="2" width="16.6" style="4" customWidth="1"/>
    <col min="3" max="3" width="13.6" style="5" customWidth="1"/>
    <col min="4" max="4" width="6.1" style="1" customWidth="1"/>
    <col min="5" max="5" width="7.1" style="1" customWidth="1"/>
    <col min="6" max="6" width="8.1" style="1" customWidth="1"/>
    <col min="7" max="7" width="10.5" style="1" customWidth="1"/>
    <col min="8" max="8" width="8.1" style="1" customWidth="1"/>
    <col min="9" max="10" width="8.1" style="1" hidden="1" customWidth="1"/>
    <col min="11" max="11" width="10" style="1" hidden="1" customWidth="1"/>
    <col min="12" max="12" width="8.1" style="1" hidden="1" customWidth="1"/>
    <col min="13" max="13" width="23.5" style="4" customWidth="1"/>
    <col min="14" max="14" width="6.1" style="4" customWidth="1"/>
    <col min="15" max="16384" width="9" style="4"/>
  </cols>
  <sheetData>
    <row r="1" ht="16.5" customHeight="1" spans="1:13">
      <c r="A1" s="5"/>
      <c r="B1" s="321" t="e">
        <f>#REF!</f>
        <v>#REF!</v>
      </c>
      <c r="C1" s="322" t="s">
        <v>1524</v>
      </c>
      <c r="D1" s="322"/>
      <c r="E1" s="322"/>
      <c r="M1" s="5"/>
    </row>
    <row r="2" s="1" customFormat="1" ht="30" customHeight="1" spans="1:13">
      <c r="A2" s="8" t="s">
        <v>21</v>
      </c>
      <c r="B2" s="9" t="s">
        <v>494</v>
      </c>
      <c r="C2" s="9" t="s">
        <v>606</v>
      </c>
      <c r="D2" s="9" t="s">
        <v>1295</v>
      </c>
      <c r="E2" s="1830" t="s">
        <v>2322</v>
      </c>
      <c r="F2" s="1830" t="s">
        <v>2240</v>
      </c>
      <c r="G2" s="9" t="s">
        <v>2241</v>
      </c>
      <c r="H2" s="9" t="s">
        <v>503</v>
      </c>
      <c r="I2" s="51" t="s">
        <v>2242</v>
      </c>
      <c r="J2" s="52" t="s">
        <v>2243</v>
      </c>
      <c r="K2" s="52" t="s">
        <v>2244</v>
      </c>
      <c r="L2" s="53" t="s">
        <v>2245</v>
      </c>
      <c r="M2" s="54" t="s">
        <v>1300</v>
      </c>
    </row>
    <row r="3" s="2" customFormat="1" ht="18.75" customHeight="1" spans="1:13">
      <c r="A3" s="10" t="s">
        <v>533</v>
      </c>
      <c r="B3" s="12" t="s">
        <v>2323</v>
      </c>
      <c r="C3" s="12"/>
      <c r="D3" s="12"/>
      <c r="E3" s="12"/>
      <c r="F3" s="12"/>
      <c r="G3" s="12" t="e">
        <f>G4+G9+G33+G39+G49</f>
        <v>#REF!</v>
      </c>
      <c r="H3" s="12" t="e">
        <f>IF(G3=0,"",IF($E$6=0,"",G3*10000/$E$6))</f>
        <v>#REF!</v>
      </c>
      <c r="I3" s="330"/>
      <c r="J3" s="330"/>
      <c r="K3" s="330"/>
      <c r="L3" s="330"/>
      <c r="M3" s="331" t="e">
        <f>H3+H50</f>
        <v>#REF!</v>
      </c>
    </row>
    <row r="4" s="2" customFormat="1" ht="15" customHeight="1" spans="1:13">
      <c r="A4" s="1825" t="s">
        <v>2247</v>
      </c>
      <c r="B4" s="104" t="s">
        <v>2248</v>
      </c>
      <c r="C4" s="16"/>
      <c r="D4" s="16"/>
      <c r="E4" s="17"/>
      <c r="F4" s="16"/>
      <c r="G4" s="16" t="e">
        <f>SUM(G5:G8)</f>
        <v>#REF!</v>
      </c>
      <c r="H4" s="16" t="e">
        <f>IF(G4=0,"",IF($E$6=0,"",G4*10000/$E$6))</f>
        <v>#REF!</v>
      </c>
      <c r="I4" s="332"/>
      <c r="J4" s="332"/>
      <c r="K4" s="332"/>
      <c r="L4" s="332"/>
      <c r="M4" s="333"/>
    </row>
    <row r="5" s="2" customFormat="1" ht="15" customHeight="1" outlineLevel="1" spans="1:13">
      <c r="A5" s="19" t="s">
        <v>622</v>
      </c>
      <c r="B5" s="22" t="s">
        <v>2249</v>
      </c>
      <c r="C5" s="21" t="s">
        <v>167</v>
      </c>
      <c r="D5" s="22">
        <v>6</v>
      </c>
      <c r="E5" s="23" t="e">
        <f>#REF!</f>
        <v>#REF!</v>
      </c>
      <c r="F5" s="22" t="e">
        <f>#REF!</f>
        <v>#REF!</v>
      </c>
      <c r="G5" s="323" t="e">
        <f t="shared" ref="G5:G8" si="0">E5*F5*D5/10000</f>
        <v>#REF!</v>
      </c>
      <c r="H5" s="323" t="e">
        <f>IF(G5=0,"",IF(#REF!=0,"",G5*10000/#REF!))</f>
        <v>#REF!</v>
      </c>
      <c r="I5" s="334"/>
      <c r="J5" s="334"/>
      <c r="K5" s="334"/>
      <c r="L5" s="334"/>
      <c r="M5" s="333"/>
    </row>
    <row r="6" s="2" customFormat="1" ht="15" customHeight="1" outlineLevel="1" spans="1:13">
      <c r="A6" s="19" t="s">
        <v>622</v>
      </c>
      <c r="B6" s="22" t="s">
        <v>2324</v>
      </c>
      <c r="C6" s="22" t="s">
        <v>505</v>
      </c>
      <c r="D6" s="22">
        <v>1</v>
      </c>
      <c r="E6" s="23" t="e">
        <f>#REF!</f>
        <v>#REF!</v>
      </c>
      <c r="F6" s="22">
        <v>70</v>
      </c>
      <c r="G6" s="323" t="e">
        <f t="shared" si="0"/>
        <v>#REF!</v>
      </c>
      <c r="H6" s="323" t="e">
        <f>IF(G6=0,"",IF(#REF!=0,"",G6*10000/#REF!))</f>
        <v>#REF!</v>
      </c>
      <c r="I6" s="334"/>
      <c r="J6" s="334"/>
      <c r="K6" s="334"/>
      <c r="L6" s="334"/>
      <c r="M6" s="333"/>
    </row>
    <row r="7" s="2" customFormat="1" ht="15" customHeight="1" outlineLevel="1" spans="1:13">
      <c r="A7" s="19" t="s">
        <v>622</v>
      </c>
      <c r="B7" s="22" t="s">
        <v>2325</v>
      </c>
      <c r="C7" s="22" t="s">
        <v>505</v>
      </c>
      <c r="D7" s="22">
        <v>1</v>
      </c>
      <c r="E7" s="23" t="e">
        <f>#REF!</f>
        <v>#REF!</v>
      </c>
      <c r="F7" s="78">
        <v>185</v>
      </c>
      <c r="G7" s="323" t="e">
        <f t="shared" si="0"/>
        <v>#REF!</v>
      </c>
      <c r="H7" s="323" t="e">
        <f>IF(G7=0,"",IF(#REF!=0,"",G7*10000/#REF!))</f>
        <v>#REF!</v>
      </c>
      <c r="I7" s="334"/>
      <c r="J7" s="334"/>
      <c r="K7" s="334"/>
      <c r="L7" s="334"/>
      <c r="M7" s="333"/>
    </row>
    <row r="8" s="2" customFormat="1" ht="15" customHeight="1" outlineLevel="1" spans="1:13">
      <c r="A8" s="19" t="s">
        <v>622</v>
      </c>
      <c r="B8" s="22" t="s">
        <v>2327</v>
      </c>
      <c r="C8" s="22" t="s">
        <v>505</v>
      </c>
      <c r="D8" s="22">
        <v>1</v>
      </c>
      <c r="E8" s="23" t="e">
        <f>#REF!</f>
        <v>#REF!</v>
      </c>
      <c r="F8" s="22">
        <v>3</v>
      </c>
      <c r="G8" s="323" t="e">
        <f t="shared" si="0"/>
        <v>#REF!</v>
      </c>
      <c r="H8" s="323" t="e">
        <f>IF(G8=0,"",IF(#REF!=0,"",G8*10000/#REF!))</f>
        <v>#REF!</v>
      </c>
      <c r="I8" s="334"/>
      <c r="J8" s="334"/>
      <c r="K8" s="334"/>
      <c r="L8" s="334"/>
      <c r="M8" s="333"/>
    </row>
    <row r="9" s="2" customFormat="1" ht="15" customHeight="1" spans="1:13">
      <c r="A9" s="1825" t="s">
        <v>2257</v>
      </c>
      <c r="B9" s="104" t="s">
        <v>2258</v>
      </c>
      <c r="C9" s="16"/>
      <c r="D9" s="16"/>
      <c r="E9" s="17"/>
      <c r="F9" s="16"/>
      <c r="G9" s="16" t="e">
        <f>G10+G14+G15+G22+G28</f>
        <v>#REF!</v>
      </c>
      <c r="H9" s="16" t="e">
        <f t="shared" ref="H9:H15" si="1">IF(G9=0,"",IF($E$6=0,"",G9*10000/$E$6))</f>
        <v>#REF!</v>
      </c>
      <c r="I9" s="332"/>
      <c r="J9" s="332"/>
      <c r="K9" s="332"/>
      <c r="L9" s="332"/>
      <c r="M9" s="335"/>
    </row>
    <row r="10" s="2" customFormat="1" ht="15" customHeight="1" outlineLevel="1" spans="1:13">
      <c r="A10" s="26" t="s">
        <v>622</v>
      </c>
      <c r="B10" s="1826" t="s">
        <v>2259</v>
      </c>
      <c r="C10" s="22"/>
      <c r="D10" s="22"/>
      <c r="E10" s="23"/>
      <c r="F10" s="22"/>
      <c r="G10" s="22" t="e">
        <f>SUM(G11:G13)</f>
        <v>#REF!</v>
      </c>
      <c r="H10" s="22" t="e">
        <f t="shared" si="1"/>
        <v>#REF!</v>
      </c>
      <c r="I10" s="336"/>
      <c r="J10" s="336"/>
      <c r="K10" s="336"/>
      <c r="L10" s="336"/>
      <c r="M10" s="333"/>
    </row>
    <row r="11" s="2" customFormat="1" ht="15" customHeight="1" outlineLevel="1" spans="1:13">
      <c r="A11" s="26"/>
      <c r="B11" s="1827" t="s">
        <v>1536</v>
      </c>
      <c r="C11" s="22" t="s">
        <v>505</v>
      </c>
      <c r="D11" s="78">
        <v>0.37</v>
      </c>
      <c r="E11" s="23" t="e">
        <f>#REF!</f>
        <v>#REF!</v>
      </c>
      <c r="F11" s="40">
        <v>440</v>
      </c>
      <c r="G11" s="22" t="e">
        <f t="shared" ref="G11:G14" si="2">D11*E11*F11/10000</f>
        <v>#REF!</v>
      </c>
      <c r="H11" s="22"/>
      <c r="I11" s="336"/>
      <c r="J11" s="336"/>
      <c r="K11" s="336"/>
      <c r="L11" s="336"/>
      <c r="M11" s="333"/>
    </row>
    <row r="12" s="2" customFormat="1" ht="15" customHeight="1" outlineLevel="1" spans="1:13">
      <c r="A12" s="26"/>
      <c r="B12" s="1827" t="s">
        <v>1543</v>
      </c>
      <c r="C12" s="22" t="s">
        <v>505</v>
      </c>
      <c r="D12" s="78">
        <v>43</v>
      </c>
      <c r="E12" s="23" t="e">
        <f>#REF!</f>
        <v>#REF!</v>
      </c>
      <c r="F12" s="79">
        <v>6.2</v>
      </c>
      <c r="G12" s="22" t="e">
        <f t="shared" si="2"/>
        <v>#REF!</v>
      </c>
      <c r="H12" s="22"/>
      <c r="I12" s="336"/>
      <c r="J12" s="336"/>
      <c r="K12" s="336"/>
      <c r="L12" s="336"/>
      <c r="M12" s="337" t="s">
        <v>2496</v>
      </c>
    </row>
    <row r="13" s="2" customFormat="1" ht="15" customHeight="1" outlineLevel="1" spans="1:13">
      <c r="A13" s="26"/>
      <c r="B13" s="1827" t="s">
        <v>1550</v>
      </c>
      <c r="C13" s="22" t="s">
        <v>505</v>
      </c>
      <c r="D13" s="38">
        <v>3.4</v>
      </c>
      <c r="E13" s="23" t="e">
        <f>#REF!</f>
        <v>#REF!</v>
      </c>
      <c r="F13" s="79">
        <v>45</v>
      </c>
      <c r="G13" s="22" t="e">
        <f t="shared" si="2"/>
        <v>#REF!</v>
      </c>
      <c r="H13" s="22"/>
      <c r="I13" s="336"/>
      <c r="J13" s="336"/>
      <c r="K13" s="336"/>
      <c r="L13" s="336"/>
      <c r="M13" s="333"/>
    </row>
    <row r="14" s="2" customFormat="1" ht="15" customHeight="1" outlineLevel="1" spans="1:13">
      <c r="A14" s="26" t="s">
        <v>622</v>
      </c>
      <c r="B14" s="1828" t="s">
        <v>1552</v>
      </c>
      <c r="C14" s="22" t="s">
        <v>505</v>
      </c>
      <c r="D14" s="38">
        <v>0.15</v>
      </c>
      <c r="E14" s="23" t="e">
        <f>#REF!</f>
        <v>#REF!</v>
      </c>
      <c r="F14" s="86">
        <v>500</v>
      </c>
      <c r="G14" s="22" t="e">
        <f t="shared" si="2"/>
        <v>#REF!</v>
      </c>
      <c r="H14" s="22" t="e">
        <f t="shared" si="1"/>
        <v>#REF!</v>
      </c>
      <c r="I14" s="336"/>
      <c r="J14" s="336"/>
      <c r="K14" s="336"/>
      <c r="L14" s="336"/>
      <c r="M14" s="333"/>
    </row>
    <row r="15" s="2" customFormat="1" ht="15" customHeight="1" outlineLevel="1" spans="1:13">
      <c r="A15" s="26" t="s">
        <v>622</v>
      </c>
      <c r="B15" s="1828" t="s">
        <v>1564</v>
      </c>
      <c r="C15" s="22"/>
      <c r="D15" s="22"/>
      <c r="E15" s="23"/>
      <c r="F15" s="79"/>
      <c r="G15" s="22" t="e">
        <f>SUM(G16:G21)</f>
        <v>#REF!</v>
      </c>
      <c r="H15" s="22" t="e">
        <f t="shared" si="1"/>
        <v>#REF!</v>
      </c>
      <c r="I15" s="336"/>
      <c r="J15" s="336"/>
      <c r="K15" s="336"/>
      <c r="L15" s="336"/>
      <c r="M15" s="333"/>
    </row>
    <row r="16" s="2" customFormat="1" ht="15" customHeight="1" outlineLevel="1" spans="1:13">
      <c r="A16" s="26"/>
      <c r="B16" s="34" t="s">
        <v>2260</v>
      </c>
      <c r="C16" s="22" t="s">
        <v>505</v>
      </c>
      <c r="D16" s="40">
        <v>0.9</v>
      </c>
      <c r="E16" s="23" t="e">
        <f>#REF!</f>
        <v>#REF!</v>
      </c>
      <c r="F16" s="79">
        <v>28</v>
      </c>
      <c r="G16" s="22" t="e">
        <f>E16*F16*D16/10000</f>
        <v>#REF!</v>
      </c>
      <c r="H16" s="22"/>
      <c r="I16" s="336"/>
      <c r="J16" s="336"/>
      <c r="K16" s="336"/>
      <c r="L16" s="336"/>
      <c r="M16" s="333"/>
    </row>
    <row r="17" s="2" customFormat="1" ht="15" customHeight="1" outlineLevel="1" spans="1:13">
      <c r="A17" s="26"/>
      <c r="B17" s="34" t="s">
        <v>2328</v>
      </c>
      <c r="C17" s="22" t="s">
        <v>505</v>
      </c>
      <c r="D17" s="79">
        <v>1.8</v>
      </c>
      <c r="E17" s="23" t="e">
        <f>#REF!</f>
        <v>#REF!</v>
      </c>
      <c r="F17" s="79">
        <v>32</v>
      </c>
      <c r="G17" s="22" t="e">
        <f>E17*F17*D17/10000</f>
        <v>#REF!</v>
      </c>
      <c r="H17" s="22"/>
      <c r="I17" s="336"/>
      <c r="J17" s="336"/>
      <c r="K17" s="336"/>
      <c r="L17" s="336"/>
      <c r="M17" s="333"/>
    </row>
    <row r="18" s="2" customFormat="1" ht="15" customHeight="1" outlineLevel="1" spans="1:13">
      <c r="A18" s="26"/>
      <c r="B18" s="34" t="s">
        <v>2263</v>
      </c>
      <c r="C18" s="22" t="s">
        <v>505</v>
      </c>
      <c r="D18" s="79">
        <v>1.9</v>
      </c>
      <c r="E18" s="23" t="e">
        <f>#REF!</f>
        <v>#REF!</v>
      </c>
      <c r="F18" s="79">
        <v>8</v>
      </c>
      <c r="G18" s="22" t="e">
        <f t="shared" ref="G18:G27" si="3">E18*F18*D18/10000</f>
        <v>#REF!</v>
      </c>
      <c r="H18" s="22"/>
      <c r="I18" s="336"/>
      <c r="J18" s="336"/>
      <c r="K18" s="336"/>
      <c r="L18" s="336"/>
      <c r="M18" s="333"/>
    </row>
    <row r="19" s="2" customFormat="1" ht="15" customHeight="1" outlineLevel="1" spans="1:13">
      <c r="A19" s="26"/>
      <c r="B19" s="34" t="s">
        <v>2329</v>
      </c>
      <c r="C19" s="22" t="s">
        <v>505</v>
      </c>
      <c r="D19" s="79">
        <f>D43</f>
        <v>1.3</v>
      </c>
      <c r="E19" s="23" t="e">
        <f>#REF!</f>
        <v>#REF!</v>
      </c>
      <c r="F19" s="79">
        <v>18</v>
      </c>
      <c r="G19" s="22" t="e">
        <f t="shared" si="3"/>
        <v>#REF!</v>
      </c>
      <c r="H19" s="22"/>
      <c r="I19" s="336"/>
      <c r="J19" s="336"/>
      <c r="K19" s="336"/>
      <c r="L19" s="336"/>
      <c r="M19" s="333"/>
    </row>
    <row r="20" s="2" customFormat="1" ht="15" customHeight="1" outlineLevel="1" spans="1:13">
      <c r="A20" s="26"/>
      <c r="B20" s="34" t="s">
        <v>2330</v>
      </c>
      <c r="C20" s="22" t="s">
        <v>505</v>
      </c>
      <c r="D20" s="79">
        <f>D42</f>
        <v>0.2</v>
      </c>
      <c r="E20" s="23" t="e">
        <f>#REF!</f>
        <v>#REF!</v>
      </c>
      <c r="F20" s="79">
        <v>86</v>
      </c>
      <c r="G20" s="22" t="e">
        <f t="shared" si="3"/>
        <v>#REF!</v>
      </c>
      <c r="H20" s="22"/>
      <c r="I20" s="336"/>
      <c r="J20" s="336"/>
      <c r="K20" s="336"/>
      <c r="L20" s="336"/>
      <c r="M20" s="333"/>
    </row>
    <row r="21" s="2" customFormat="1" ht="15" customHeight="1" outlineLevel="1" spans="1:13">
      <c r="A21" s="26"/>
      <c r="B21" s="92" t="s">
        <v>2497</v>
      </c>
      <c r="C21" s="22" t="s">
        <v>505</v>
      </c>
      <c r="D21" s="79">
        <v>2.8</v>
      </c>
      <c r="E21" s="23" t="e">
        <f>#REF!</f>
        <v>#REF!</v>
      </c>
      <c r="F21" s="79">
        <v>10</v>
      </c>
      <c r="G21" s="22" t="e">
        <f t="shared" si="3"/>
        <v>#REF!</v>
      </c>
      <c r="H21" s="22"/>
      <c r="I21" s="336"/>
      <c r="J21" s="336"/>
      <c r="K21" s="336"/>
      <c r="L21" s="336"/>
      <c r="M21" s="333"/>
    </row>
    <row r="22" s="2" customFormat="1" ht="15" customHeight="1" outlineLevel="1" spans="1:13">
      <c r="A22" s="26" t="s">
        <v>622</v>
      </c>
      <c r="B22" s="1828" t="s">
        <v>2266</v>
      </c>
      <c r="C22" s="22"/>
      <c r="D22" s="79"/>
      <c r="E22" s="23"/>
      <c r="F22" s="79"/>
      <c r="G22" s="22" t="e">
        <f>SUM(G23:G27)</f>
        <v>#REF!</v>
      </c>
      <c r="H22" s="22" t="e">
        <f>IF(G22=0,"",IF($E$6=0,"",G22*10000/$E$6))</f>
        <v>#REF!</v>
      </c>
      <c r="I22" s="336"/>
      <c r="J22" s="336"/>
      <c r="K22" s="336"/>
      <c r="L22" s="336"/>
      <c r="M22" s="333"/>
    </row>
    <row r="23" s="2" customFormat="1" ht="15" customHeight="1" outlineLevel="1" spans="1:13">
      <c r="A23" s="26"/>
      <c r="B23" s="34" t="s">
        <v>2271</v>
      </c>
      <c r="C23" s="80" t="s">
        <v>598</v>
      </c>
      <c r="D23" s="79">
        <v>1.3</v>
      </c>
      <c r="E23" s="23" t="e">
        <f>#REF!</f>
        <v>#REF!</v>
      </c>
      <c r="F23" s="79">
        <v>98</v>
      </c>
      <c r="G23" s="22" t="e">
        <f t="shared" si="3"/>
        <v>#REF!</v>
      </c>
      <c r="H23" s="22"/>
      <c r="I23" s="336"/>
      <c r="J23" s="336"/>
      <c r="K23" s="336"/>
      <c r="L23" s="336"/>
      <c r="M23" s="333"/>
    </row>
    <row r="24" s="2" customFormat="1" ht="15" customHeight="1" outlineLevel="1" spans="1:13">
      <c r="A24" s="26"/>
      <c r="B24" s="34" t="s">
        <v>2331</v>
      </c>
      <c r="C24" s="80" t="s">
        <v>598</v>
      </c>
      <c r="D24" s="79">
        <v>1</v>
      </c>
      <c r="E24" s="23" t="e">
        <f>#REF!</f>
        <v>#REF!</v>
      </c>
      <c r="F24" s="79">
        <v>47</v>
      </c>
      <c r="G24" s="22" t="e">
        <f t="shared" si="3"/>
        <v>#REF!</v>
      </c>
      <c r="H24" s="22"/>
      <c r="I24" s="336"/>
      <c r="J24" s="336"/>
      <c r="K24" s="336"/>
      <c r="L24" s="336"/>
      <c r="M24" s="333"/>
    </row>
    <row r="25" s="2" customFormat="1" ht="15" customHeight="1" outlineLevel="1" spans="1:13">
      <c r="A25" s="26"/>
      <c r="B25" s="34" t="s">
        <v>2332</v>
      </c>
      <c r="C25" s="22" t="s">
        <v>505</v>
      </c>
      <c r="D25" s="79">
        <v>0.15</v>
      </c>
      <c r="E25" s="23" t="e">
        <f>#REF!</f>
        <v>#REF!</v>
      </c>
      <c r="F25" s="79">
        <v>47</v>
      </c>
      <c r="G25" s="22" t="e">
        <f t="shared" si="3"/>
        <v>#REF!</v>
      </c>
      <c r="H25" s="22"/>
      <c r="I25" s="336"/>
      <c r="J25" s="336"/>
      <c r="K25" s="336"/>
      <c r="L25" s="336"/>
      <c r="M25" s="333"/>
    </row>
    <row r="26" s="2" customFormat="1" ht="15" customHeight="1" outlineLevel="1" spans="1:13">
      <c r="A26" s="26"/>
      <c r="B26" s="34" t="s">
        <v>2269</v>
      </c>
      <c r="C26" s="22" t="s">
        <v>505</v>
      </c>
      <c r="D26" s="79">
        <v>0.15</v>
      </c>
      <c r="E26" s="23" t="e">
        <f>#REF!</f>
        <v>#REF!</v>
      </c>
      <c r="F26" s="79">
        <v>43</v>
      </c>
      <c r="G26" s="22" t="e">
        <f t="shared" si="3"/>
        <v>#REF!</v>
      </c>
      <c r="H26" s="22"/>
      <c r="I26" s="336"/>
      <c r="J26" s="336"/>
      <c r="K26" s="336"/>
      <c r="L26" s="336"/>
      <c r="M26" s="333"/>
    </row>
    <row r="27" s="2" customFormat="1" ht="15" customHeight="1" outlineLevel="1" spans="1:13">
      <c r="A27" s="26"/>
      <c r="B27" s="34" t="s">
        <v>2333</v>
      </c>
      <c r="C27" s="22" t="s">
        <v>505</v>
      </c>
      <c r="D27" s="79">
        <v>0.05</v>
      </c>
      <c r="E27" s="23" t="e">
        <f>#REF!</f>
        <v>#REF!</v>
      </c>
      <c r="F27" s="79">
        <f>F25</f>
        <v>47</v>
      </c>
      <c r="G27" s="22" t="e">
        <f t="shared" si="3"/>
        <v>#REF!</v>
      </c>
      <c r="H27" s="22"/>
      <c r="I27" s="336"/>
      <c r="J27" s="336"/>
      <c r="K27" s="336"/>
      <c r="L27" s="336"/>
      <c r="M27" s="333"/>
    </row>
    <row r="28" s="2" customFormat="1" ht="15" customHeight="1" outlineLevel="1" spans="1:13">
      <c r="A28" s="26" t="s">
        <v>622</v>
      </c>
      <c r="B28" s="27" t="s">
        <v>1275</v>
      </c>
      <c r="C28" s="22"/>
      <c r="D28" s="22"/>
      <c r="E28" s="23"/>
      <c r="F28" s="79"/>
      <c r="G28" s="22" t="e">
        <f>SUM(G29:G32)</f>
        <v>#REF!</v>
      </c>
      <c r="H28" s="22" t="e">
        <f t="shared" ref="H28:H33" si="4">IF(G28=0,"",IF($E$6=0,"",G28*10000/$E$6))</f>
        <v>#REF!</v>
      </c>
      <c r="I28" s="336"/>
      <c r="J28" s="336"/>
      <c r="K28" s="336"/>
      <c r="L28" s="336"/>
      <c r="M28" s="333"/>
    </row>
    <row r="29" s="2" customFormat="1" ht="15" customHeight="1" outlineLevel="1" spans="1:13">
      <c r="A29" s="26"/>
      <c r="B29" s="1829" t="s">
        <v>2274</v>
      </c>
      <c r="C29" s="22" t="s">
        <v>505</v>
      </c>
      <c r="D29" s="22">
        <v>1</v>
      </c>
      <c r="E29" s="23" t="e">
        <f>#REF!</f>
        <v>#REF!</v>
      </c>
      <c r="F29" s="79">
        <v>200</v>
      </c>
      <c r="G29" s="22" t="e">
        <f t="shared" ref="G29:G32" si="5">D29*E29*F29/10000</f>
        <v>#REF!</v>
      </c>
      <c r="H29" s="22" t="e">
        <f t="shared" si="4"/>
        <v>#REF!</v>
      </c>
      <c r="I29" s="336"/>
      <c r="J29" s="336"/>
      <c r="K29" s="336"/>
      <c r="L29" s="336"/>
      <c r="M29" s="333"/>
    </row>
    <row r="30" s="2" customFormat="1" ht="15" customHeight="1" outlineLevel="1" spans="1:13">
      <c r="A30" s="26"/>
      <c r="B30" s="1829" t="s">
        <v>2275</v>
      </c>
      <c r="C30" s="22" t="s">
        <v>505</v>
      </c>
      <c r="D30" s="41">
        <v>0.03</v>
      </c>
      <c r="E30" s="23" t="e">
        <f>#REF!</f>
        <v>#REF!</v>
      </c>
      <c r="F30" s="42" t="e">
        <f>H29+H22+H15+H14+H10</f>
        <v>#REF!</v>
      </c>
      <c r="G30" s="22" t="e">
        <f t="shared" si="5"/>
        <v>#REF!</v>
      </c>
      <c r="H30" s="22"/>
      <c r="I30" s="336"/>
      <c r="J30" s="336"/>
      <c r="K30" s="336"/>
      <c r="L30" s="336"/>
      <c r="M30" s="338"/>
    </row>
    <row r="31" s="2" customFormat="1" ht="15" customHeight="1" outlineLevel="1" spans="1:13">
      <c r="A31" s="26"/>
      <c r="B31" s="43" t="s">
        <v>2334</v>
      </c>
      <c r="C31" s="22"/>
      <c r="D31" s="22">
        <v>3.1</v>
      </c>
      <c r="E31" s="23" t="e">
        <f>#REF!</f>
        <v>#REF!</v>
      </c>
      <c r="F31" s="79">
        <v>113</v>
      </c>
      <c r="G31" s="22" t="e">
        <f t="shared" si="5"/>
        <v>#REF!</v>
      </c>
      <c r="H31" s="22"/>
      <c r="I31" s="336"/>
      <c r="J31" s="336"/>
      <c r="K31" s="336"/>
      <c r="L31" s="336"/>
      <c r="M31" s="333"/>
    </row>
    <row r="32" s="2" customFormat="1" ht="15" customHeight="1" outlineLevel="1" spans="1:13">
      <c r="A32" s="26"/>
      <c r="B32" s="43" t="s">
        <v>2498</v>
      </c>
      <c r="C32" s="22"/>
      <c r="D32" s="22">
        <v>3.1</v>
      </c>
      <c r="E32" s="23" t="e">
        <f>#REF!</f>
        <v>#REF!</v>
      </c>
      <c r="F32" s="79">
        <v>75</v>
      </c>
      <c r="G32" s="22" t="e">
        <f t="shared" si="5"/>
        <v>#REF!</v>
      </c>
      <c r="H32" s="22"/>
      <c r="I32" s="336"/>
      <c r="J32" s="336"/>
      <c r="K32" s="336"/>
      <c r="L32" s="336"/>
      <c r="M32" s="333"/>
    </row>
    <row r="33" s="2" customFormat="1" ht="15" customHeight="1" spans="1:13">
      <c r="A33" s="1825" t="s">
        <v>2336</v>
      </c>
      <c r="B33" s="104" t="s">
        <v>1803</v>
      </c>
      <c r="C33" s="16"/>
      <c r="D33" s="16"/>
      <c r="E33" s="17"/>
      <c r="F33" s="16"/>
      <c r="G33" s="16" t="e">
        <f>SUM(G34:G38)</f>
        <v>#REF!</v>
      </c>
      <c r="H33" s="16" t="e">
        <f t="shared" si="4"/>
        <v>#REF!</v>
      </c>
      <c r="I33" s="332"/>
      <c r="J33" s="332"/>
      <c r="K33" s="332"/>
      <c r="L33" s="332"/>
      <c r="M33" s="333"/>
    </row>
    <row r="34" s="2" customFormat="1" ht="15" customHeight="1" outlineLevel="1" spans="1:13">
      <c r="A34" s="19" t="s">
        <v>622</v>
      </c>
      <c r="B34" s="22" t="s">
        <v>2337</v>
      </c>
      <c r="C34" s="22" t="s">
        <v>602</v>
      </c>
      <c r="D34" s="22"/>
      <c r="E34" s="23"/>
      <c r="F34" s="22"/>
      <c r="G34" s="22">
        <f t="shared" ref="G34:G38" si="6">D34*E34*F34/10000</f>
        <v>0</v>
      </c>
      <c r="H34" s="22" t="str">
        <f>IF(G34=0,"",IF(#REF!=0,"",G34*10000/#REF!))</f>
        <v/>
      </c>
      <c r="I34" s="336"/>
      <c r="J34" s="336"/>
      <c r="K34" s="336"/>
      <c r="L34" s="336"/>
      <c r="M34" s="333"/>
    </row>
    <row r="35" s="2" customFormat="1" ht="15" customHeight="1" outlineLevel="1" spans="1:13">
      <c r="A35" s="19" t="s">
        <v>622</v>
      </c>
      <c r="B35" s="22" t="s">
        <v>1808</v>
      </c>
      <c r="C35" s="22" t="s">
        <v>1806</v>
      </c>
      <c r="D35" s="22">
        <v>1</v>
      </c>
      <c r="E35" s="23" t="e">
        <f>#REF!</f>
        <v>#REF!</v>
      </c>
      <c r="F35" s="40">
        <v>1250</v>
      </c>
      <c r="G35" s="22" t="e">
        <f t="shared" si="6"/>
        <v>#REF!</v>
      </c>
      <c r="H35" s="22" t="e">
        <f>IF(G35=0,"",IF(#REF!=0,"",G35*10000/#REF!))</f>
        <v>#REF!</v>
      </c>
      <c r="I35" s="336"/>
      <c r="J35" s="336"/>
      <c r="K35" s="336"/>
      <c r="L35" s="336"/>
      <c r="M35" s="339"/>
    </row>
    <row r="36" s="2" customFormat="1" ht="15" customHeight="1" outlineLevel="1" spans="1:13">
      <c r="A36" s="19" t="s">
        <v>622</v>
      </c>
      <c r="B36" s="22" t="s">
        <v>2338</v>
      </c>
      <c r="C36" s="22" t="s">
        <v>505</v>
      </c>
      <c r="D36" s="22">
        <v>1</v>
      </c>
      <c r="E36" s="23" t="e">
        <f>#REF!</f>
        <v>#REF!</v>
      </c>
      <c r="F36" s="79">
        <v>5</v>
      </c>
      <c r="G36" s="22" t="e">
        <f t="shared" si="6"/>
        <v>#REF!</v>
      </c>
      <c r="H36" s="22" t="e">
        <f>IF(G36=0,"",IF(#REF!=0,"",G36*10000/#REF!))</f>
        <v>#REF!</v>
      </c>
      <c r="I36" s="336"/>
      <c r="J36" s="336"/>
      <c r="K36" s="336"/>
      <c r="L36" s="336"/>
      <c r="M36" s="333"/>
    </row>
    <row r="37" s="2" customFormat="1" ht="15" customHeight="1" outlineLevel="1" spans="1:13">
      <c r="A37" s="19" t="s">
        <v>622</v>
      </c>
      <c r="B37" s="22" t="s">
        <v>2307</v>
      </c>
      <c r="C37" s="22" t="s">
        <v>505</v>
      </c>
      <c r="D37" s="22">
        <v>1</v>
      </c>
      <c r="E37" s="23" t="e">
        <f>#REF!</f>
        <v>#REF!</v>
      </c>
      <c r="F37" s="79">
        <v>15</v>
      </c>
      <c r="G37" s="22" t="e">
        <f t="shared" si="6"/>
        <v>#REF!</v>
      </c>
      <c r="H37" s="22" t="e">
        <f>IF(G37=0,"",IF(#REF!=0,"",G37*10000/#REF!))</f>
        <v>#REF!</v>
      </c>
      <c r="I37" s="336"/>
      <c r="J37" s="336"/>
      <c r="K37" s="336"/>
      <c r="L37" s="336"/>
      <c r="M37" s="333"/>
    </row>
    <row r="38" s="2" customFormat="1" ht="18.75" customHeight="1" outlineLevel="1" spans="1:13">
      <c r="A38" s="19" t="s">
        <v>622</v>
      </c>
      <c r="B38" s="22" t="s">
        <v>1813</v>
      </c>
      <c r="C38" s="22" t="s">
        <v>505</v>
      </c>
      <c r="D38" s="22">
        <v>0.17</v>
      </c>
      <c r="E38" s="23" t="e">
        <f>#REF!</f>
        <v>#REF!</v>
      </c>
      <c r="F38" s="324">
        <v>640</v>
      </c>
      <c r="G38" s="22" t="e">
        <f t="shared" si="6"/>
        <v>#REF!</v>
      </c>
      <c r="H38" s="22" t="e">
        <f>IF(G38=0,"",IF(#REF!=0,"",G38*10000/#REF!))</f>
        <v>#REF!</v>
      </c>
      <c r="I38" s="336"/>
      <c r="J38" s="336"/>
      <c r="K38" s="336"/>
      <c r="L38" s="336"/>
      <c r="M38" s="338" t="s">
        <v>2339</v>
      </c>
    </row>
    <row r="39" s="2" customFormat="1" ht="15" customHeight="1" spans="1:13">
      <c r="A39" s="1825" t="s">
        <v>2340</v>
      </c>
      <c r="B39" s="104" t="s">
        <v>2308</v>
      </c>
      <c r="C39" s="16"/>
      <c r="D39" s="16"/>
      <c r="E39" s="17"/>
      <c r="F39" s="81"/>
      <c r="G39" s="16" t="e">
        <f>SUM(G40:G48)</f>
        <v>#REF!</v>
      </c>
      <c r="H39" s="16" t="e">
        <f>IF(G39=0,"",IF($E$6=0,"",G39*10000/$E$6))</f>
        <v>#REF!</v>
      </c>
      <c r="I39" s="332"/>
      <c r="J39" s="332"/>
      <c r="K39" s="332"/>
      <c r="L39" s="332"/>
      <c r="M39" s="333"/>
    </row>
    <row r="40" s="2" customFormat="1" ht="15" customHeight="1" outlineLevel="1" spans="1:13">
      <c r="A40" s="19" t="s">
        <v>622</v>
      </c>
      <c r="B40" s="21" t="s">
        <v>2341</v>
      </c>
      <c r="C40" s="21" t="s">
        <v>505</v>
      </c>
      <c r="D40" s="23" t="e">
        <f>#REF!</f>
        <v>#REF!</v>
      </c>
      <c r="E40" s="23">
        <v>50</v>
      </c>
      <c r="F40" s="325">
        <v>500</v>
      </c>
      <c r="G40" s="22" t="e">
        <f>E40*F40*D40/10000</f>
        <v>#REF!</v>
      </c>
      <c r="H40" s="22" t="e">
        <f>IF(G40=0,"",IF(#REF!=0,"",G40*10000/#REF!))</f>
        <v>#REF!</v>
      </c>
      <c r="I40" s="336"/>
      <c r="J40" s="336"/>
      <c r="K40" s="336"/>
      <c r="L40" s="336"/>
      <c r="M40" s="333"/>
    </row>
    <row r="41" s="2" customFormat="1" ht="15" customHeight="1" outlineLevel="1" spans="1:13">
      <c r="A41" s="19" t="s">
        <v>622</v>
      </c>
      <c r="B41" s="21" t="s">
        <v>2312</v>
      </c>
      <c r="C41" s="21" t="s">
        <v>505</v>
      </c>
      <c r="D41" s="23" t="e">
        <f>D45</f>
        <v>#REF!</v>
      </c>
      <c r="E41" s="23">
        <v>15</v>
      </c>
      <c r="F41" s="325">
        <v>300</v>
      </c>
      <c r="G41" s="22" t="e">
        <f t="shared" ref="G41:G48" si="7">E41*F41*D41/10000</f>
        <v>#REF!</v>
      </c>
      <c r="H41" s="22" t="e">
        <f>IF(G41=0,"",IF(#REF!=0,"",G41*10000/#REF!))</f>
        <v>#REF!</v>
      </c>
      <c r="I41" s="336"/>
      <c r="J41" s="336"/>
      <c r="K41" s="336"/>
      <c r="L41" s="336"/>
      <c r="M41" s="333"/>
    </row>
    <row r="42" s="2" customFormat="1" ht="15" customHeight="1" outlineLevel="1" spans="1:13">
      <c r="A42" s="19" t="s">
        <v>622</v>
      </c>
      <c r="B42" s="21" t="s">
        <v>2342</v>
      </c>
      <c r="C42" s="21" t="s">
        <v>505</v>
      </c>
      <c r="D42" s="326">
        <v>0.2</v>
      </c>
      <c r="E42" s="23" t="e">
        <f>#REF!</f>
        <v>#REF!</v>
      </c>
      <c r="F42" s="83">
        <v>30</v>
      </c>
      <c r="G42" s="22" t="e">
        <f t="shared" si="7"/>
        <v>#REF!</v>
      </c>
      <c r="H42" s="22" t="e">
        <f>IF(G42=0,"",IF(#REF!=0,"",G42*10000/#REF!))</f>
        <v>#REF!</v>
      </c>
      <c r="I42" s="336"/>
      <c r="J42" s="336"/>
      <c r="K42" s="336"/>
      <c r="L42" s="336"/>
      <c r="M42" s="333"/>
    </row>
    <row r="43" s="2" customFormat="1" ht="15" customHeight="1" outlineLevel="1" spans="1:13">
      <c r="A43" s="19" t="s">
        <v>622</v>
      </c>
      <c r="B43" s="21" t="s">
        <v>2343</v>
      </c>
      <c r="C43" s="21" t="s">
        <v>505</v>
      </c>
      <c r="D43" s="326">
        <v>1.3</v>
      </c>
      <c r="E43" s="23" t="e">
        <f>#REF!</f>
        <v>#REF!</v>
      </c>
      <c r="F43" s="83">
        <v>15</v>
      </c>
      <c r="G43" s="22" t="e">
        <f t="shared" si="7"/>
        <v>#REF!</v>
      </c>
      <c r="H43" s="22" t="e">
        <f>IF(G43=0,"",IF(#REF!=0,"",G43*10000/#REF!))</f>
        <v>#REF!</v>
      </c>
      <c r="I43" s="336"/>
      <c r="J43" s="336"/>
      <c r="K43" s="336"/>
      <c r="L43" s="336"/>
      <c r="M43" s="333"/>
    </row>
    <row r="44" s="2" customFormat="1" ht="15" customHeight="1" outlineLevel="1" spans="1:13">
      <c r="A44" s="19" t="s">
        <v>622</v>
      </c>
      <c r="B44" s="21" t="s">
        <v>2344</v>
      </c>
      <c r="C44" s="21" t="s">
        <v>505</v>
      </c>
      <c r="D44" s="23" t="e">
        <f>D41</f>
        <v>#REF!</v>
      </c>
      <c r="E44" s="23">
        <v>15</v>
      </c>
      <c r="F44" s="325">
        <v>220</v>
      </c>
      <c r="G44" s="22" t="e">
        <f t="shared" si="7"/>
        <v>#REF!</v>
      </c>
      <c r="H44" s="22" t="e">
        <f>IF(G44=0,"",IF(#REF!=0,"",G44*10000/#REF!))</f>
        <v>#REF!</v>
      </c>
      <c r="I44" s="336"/>
      <c r="J44" s="336"/>
      <c r="K44" s="336"/>
      <c r="L44" s="336"/>
      <c r="M44" s="333"/>
    </row>
    <row r="45" s="2" customFormat="1" ht="15" customHeight="1" outlineLevel="1" spans="1:13">
      <c r="A45" s="19" t="s">
        <v>622</v>
      </c>
      <c r="B45" s="21" t="s">
        <v>2311</v>
      </c>
      <c r="C45" s="21" t="s">
        <v>505</v>
      </c>
      <c r="D45" s="23" t="e">
        <f>#REF!*#REF!</f>
        <v>#REF!</v>
      </c>
      <c r="E45" s="23">
        <v>50</v>
      </c>
      <c r="F45" s="83">
        <v>8</v>
      </c>
      <c r="G45" s="22" t="e">
        <f t="shared" si="7"/>
        <v>#REF!</v>
      </c>
      <c r="H45" s="22" t="e">
        <f>IF(G45=0,"",IF(#REF!=0,"",G45*10000/#REF!))</f>
        <v>#REF!</v>
      </c>
      <c r="I45" s="336"/>
      <c r="J45" s="336"/>
      <c r="K45" s="336"/>
      <c r="L45" s="336"/>
      <c r="M45" s="333"/>
    </row>
    <row r="46" s="2" customFormat="1" ht="15" customHeight="1" outlineLevel="1" spans="1:13">
      <c r="A46" s="19" t="s">
        <v>622</v>
      </c>
      <c r="B46" s="21" t="s">
        <v>2345</v>
      </c>
      <c r="C46" s="22" t="s">
        <v>862</v>
      </c>
      <c r="D46" s="47">
        <v>1.3</v>
      </c>
      <c r="E46" s="23" t="e">
        <f>#REF!</f>
        <v>#REF!</v>
      </c>
      <c r="F46" s="83">
        <v>35</v>
      </c>
      <c r="G46" s="22" t="e">
        <f t="shared" si="7"/>
        <v>#REF!</v>
      </c>
      <c r="H46" s="22" t="e">
        <f>IF(G46=0,"",IF(#REF!=0,"",G46*10000/#REF!))</f>
        <v>#REF!</v>
      </c>
      <c r="I46" s="336"/>
      <c r="J46" s="336"/>
      <c r="K46" s="336"/>
      <c r="L46" s="336"/>
      <c r="M46" s="333"/>
    </row>
    <row r="47" s="2" customFormat="1" ht="15" customHeight="1" outlineLevel="1" spans="1:13">
      <c r="A47" s="19" t="s">
        <v>622</v>
      </c>
      <c r="B47" s="21" t="s">
        <v>2306</v>
      </c>
      <c r="C47" s="21" t="s">
        <v>505</v>
      </c>
      <c r="D47" s="47">
        <v>1</v>
      </c>
      <c r="E47" s="23" t="e">
        <f>#REF!</f>
        <v>#REF!</v>
      </c>
      <c r="F47" s="325">
        <v>33</v>
      </c>
      <c r="G47" s="22" t="e">
        <f t="shared" si="7"/>
        <v>#REF!</v>
      </c>
      <c r="H47" s="22" t="e">
        <f>IF(G47=0,"",IF(#REF!=0,"",G47*10000/#REF!))</f>
        <v>#REF!</v>
      </c>
      <c r="I47" s="336"/>
      <c r="J47" s="336"/>
      <c r="K47" s="336"/>
      <c r="L47" s="336"/>
      <c r="M47" s="333"/>
    </row>
    <row r="48" s="2" customFormat="1" ht="15" customHeight="1" outlineLevel="1" spans="1:13">
      <c r="A48" s="19" t="s">
        <v>622</v>
      </c>
      <c r="B48" s="21" t="s">
        <v>2346</v>
      </c>
      <c r="C48" s="21" t="s">
        <v>505</v>
      </c>
      <c r="D48" s="47">
        <v>0.7</v>
      </c>
      <c r="E48" s="23" t="e">
        <f>#REF!</f>
        <v>#REF!</v>
      </c>
      <c r="F48" s="83">
        <v>65</v>
      </c>
      <c r="G48" s="22" t="e">
        <f t="shared" si="7"/>
        <v>#REF!</v>
      </c>
      <c r="H48" s="22" t="e">
        <f>IF(G48=0,"",IF(#REF!=0,"",G48*10000/#REF!))</f>
        <v>#REF!</v>
      </c>
      <c r="I48" s="336"/>
      <c r="J48" s="336"/>
      <c r="K48" s="336"/>
      <c r="L48" s="336"/>
      <c r="M48" s="333"/>
    </row>
    <row r="49" s="2" customFormat="1" ht="15" customHeight="1" spans="1:13">
      <c r="A49" s="1825" t="s">
        <v>2347</v>
      </c>
      <c r="B49" s="104" t="s">
        <v>1705</v>
      </c>
      <c r="C49" s="16"/>
      <c r="D49" s="16">
        <v>1</v>
      </c>
      <c r="E49" s="23" t="e">
        <f>#REF!</f>
        <v>#REF!</v>
      </c>
      <c r="F49" s="327">
        <v>0</v>
      </c>
      <c r="G49" s="16" t="e">
        <f>D49*E49*F49/10000</f>
        <v>#REF!</v>
      </c>
      <c r="H49" s="16" t="e">
        <f t="shared" ref="H49:H51" si="8">IF(G49=0,"",IF($E$6=0,"",G49*10000/$E$6))</f>
        <v>#REF!</v>
      </c>
      <c r="I49" s="332"/>
      <c r="J49" s="332"/>
      <c r="K49" s="332"/>
      <c r="L49" s="332"/>
      <c r="M49" s="333"/>
    </row>
    <row r="50" s="2" customFormat="1" ht="15" customHeight="1" spans="1:13">
      <c r="A50" s="10" t="s">
        <v>2348</v>
      </c>
      <c r="B50" s="12" t="s">
        <v>2349</v>
      </c>
      <c r="C50" s="12"/>
      <c r="D50" s="12"/>
      <c r="E50" s="48"/>
      <c r="F50" s="12"/>
      <c r="G50" s="12" t="e">
        <f>G51+G68+G73</f>
        <v>#REF!</v>
      </c>
      <c r="H50" s="12" t="e">
        <f t="shared" si="8"/>
        <v>#REF!</v>
      </c>
      <c r="I50" s="330"/>
      <c r="J50" s="330"/>
      <c r="K50" s="330"/>
      <c r="L50" s="330"/>
      <c r="M50" s="340"/>
    </row>
    <row r="51" s="2" customFormat="1" ht="15" customHeight="1" spans="1:13">
      <c r="A51" s="1825" t="s">
        <v>2247</v>
      </c>
      <c r="B51" s="104" t="s">
        <v>2279</v>
      </c>
      <c r="C51" s="16"/>
      <c r="D51" s="16"/>
      <c r="E51" s="17"/>
      <c r="F51" s="16"/>
      <c r="G51" s="16" t="e">
        <f>G52+G60+G58+G59</f>
        <v>#REF!</v>
      </c>
      <c r="H51" s="16" t="e">
        <f t="shared" si="8"/>
        <v>#REF!</v>
      </c>
      <c r="I51" s="332"/>
      <c r="J51" s="332"/>
      <c r="K51" s="332"/>
      <c r="L51" s="332"/>
      <c r="M51" s="333"/>
    </row>
    <row r="52" s="2" customFormat="1" ht="15" customHeight="1" outlineLevel="1" spans="1:13">
      <c r="A52" s="19" t="s">
        <v>622</v>
      </c>
      <c r="B52" s="20" t="s">
        <v>2280</v>
      </c>
      <c r="C52" s="22" t="s">
        <v>505</v>
      </c>
      <c r="D52" s="49"/>
      <c r="E52" s="23"/>
      <c r="F52" s="22"/>
      <c r="G52" s="22" t="e">
        <f>SUM(G53:G57)</f>
        <v>#REF!</v>
      </c>
      <c r="H52" s="22" t="e">
        <f>IF(G52=0,"",IF(#REF!=0,"",G52*10000/#REF!))</f>
        <v>#REF!</v>
      </c>
      <c r="I52" s="336"/>
      <c r="J52" s="336"/>
      <c r="K52" s="336"/>
      <c r="L52" s="336"/>
      <c r="M52" s="333"/>
    </row>
    <row r="53" s="2" customFormat="1" ht="15" customHeight="1" outlineLevel="1" spans="1:13">
      <c r="A53" s="19"/>
      <c r="B53" s="328" t="s">
        <v>2350</v>
      </c>
      <c r="C53" s="21" t="s">
        <v>505</v>
      </c>
      <c r="D53" s="21">
        <v>1</v>
      </c>
      <c r="E53" s="23" t="e">
        <f>#REF!</f>
        <v>#REF!</v>
      </c>
      <c r="F53" s="329">
        <v>40</v>
      </c>
      <c r="G53" s="22" t="e">
        <f t="shared" ref="G53:G67" si="9">D53*E53*F53/10000</f>
        <v>#REF!</v>
      </c>
      <c r="H53" s="22" t="e">
        <f>IF(G53=0,"",IF(#REF!=0,"",G53*10000/#REF!))</f>
        <v>#REF!</v>
      </c>
      <c r="I53" s="336"/>
      <c r="J53" s="336"/>
      <c r="K53" s="336"/>
      <c r="L53" s="336"/>
      <c r="M53" s="333"/>
    </row>
    <row r="54" s="2" customFormat="1" ht="15" customHeight="1" outlineLevel="1" spans="1:13">
      <c r="A54" s="19"/>
      <c r="B54" s="328" t="s">
        <v>2351</v>
      </c>
      <c r="C54" s="21" t="s">
        <v>505</v>
      </c>
      <c r="D54" s="21">
        <v>1</v>
      </c>
      <c r="E54" s="23" t="e">
        <f>#REF!</f>
        <v>#REF!</v>
      </c>
      <c r="F54" s="79">
        <v>10</v>
      </c>
      <c r="G54" s="22" t="e">
        <f t="shared" si="9"/>
        <v>#REF!</v>
      </c>
      <c r="H54" s="22" t="e">
        <f>IF(G54=0,"",IF(#REF!=0,"",G54*10000/#REF!))</f>
        <v>#REF!</v>
      </c>
      <c r="I54" s="336"/>
      <c r="J54" s="336"/>
      <c r="K54" s="336"/>
      <c r="L54" s="336"/>
      <c r="M54" s="333"/>
    </row>
    <row r="55" s="2" customFormat="1" ht="15" customHeight="1" outlineLevel="1" spans="1:13">
      <c r="A55" s="19"/>
      <c r="B55" s="328" t="s">
        <v>2352</v>
      </c>
      <c r="C55" s="21" t="s">
        <v>505</v>
      </c>
      <c r="D55" s="21">
        <v>1</v>
      </c>
      <c r="E55" s="23" t="e">
        <f>#REF!</f>
        <v>#REF!</v>
      </c>
      <c r="F55" s="86">
        <v>18</v>
      </c>
      <c r="G55" s="22" t="e">
        <f t="shared" si="9"/>
        <v>#REF!</v>
      </c>
      <c r="H55" s="22" t="e">
        <f>IF(G55=0,"",IF(#REF!=0,"",G55*10000/#REF!))</f>
        <v>#REF!</v>
      </c>
      <c r="I55" s="336"/>
      <c r="J55" s="336"/>
      <c r="K55" s="336"/>
      <c r="L55" s="336"/>
      <c r="M55" s="333"/>
    </row>
    <row r="56" s="2" customFormat="1" ht="15" customHeight="1" outlineLevel="1" spans="1:13">
      <c r="A56" s="19"/>
      <c r="B56" s="117" t="s">
        <v>2353</v>
      </c>
      <c r="C56" s="21" t="s">
        <v>505</v>
      </c>
      <c r="D56" s="21">
        <v>1</v>
      </c>
      <c r="E56" s="23" t="e">
        <f>#REF!</f>
        <v>#REF!</v>
      </c>
      <c r="F56" s="79"/>
      <c r="G56" s="22" t="e">
        <f t="shared" si="9"/>
        <v>#REF!</v>
      </c>
      <c r="H56" s="22" t="e">
        <f>IF(G56=0,"",IF(#REF!=0,"",G56*10000/#REF!))</f>
        <v>#REF!</v>
      </c>
      <c r="I56" s="336"/>
      <c r="J56" s="336"/>
      <c r="K56" s="336"/>
      <c r="L56" s="336"/>
      <c r="M56" s="333"/>
    </row>
    <row r="57" s="2" customFormat="1" ht="15" customHeight="1" outlineLevel="1" spans="1:13">
      <c r="A57" s="19"/>
      <c r="B57" s="117" t="s">
        <v>2354</v>
      </c>
      <c r="C57" s="21" t="s">
        <v>601</v>
      </c>
      <c r="D57" s="21">
        <v>1</v>
      </c>
      <c r="E57" s="23" t="e">
        <f>#REF!</f>
        <v>#REF!</v>
      </c>
      <c r="F57" s="79">
        <v>50</v>
      </c>
      <c r="G57" s="22" t="e">
        <f t="shared" si="9"/>
        <v>#REF!</v>
      </c>
      <c r="H57" s="22" t="e">
        <f>IF(G57=0,"",IF(#REF!=0,"",G57*10000/#REF!))</f>
        <v>#REF!</v>
      </c>
      <c r="I57" s="336"/>
      <c r="J57" s="336"/>
      <c r="K57" s="336"/>
      <c r="L57" s="336"/>
      <c r="M57" s="333"/>
    </row>
    <row r="58" s="2" customFormat="1" ht="16.5" customHeight="1" outlineLevel="1" spans="1:13">
      <c r="A58" s="19" t="s">
        <v>622</v>
      </c>
      <c r="B58" s="20" t="s">
        <v>2284</v>
      </c>
      <c r="C58" s="21" t="s">
        <v>505</v>
      </c>
      <c r="D58" s="21">
        <v>1</v>
      </c>
      <c r="E58" s="23" t="e">
        <f>#REF!</f>
        <v>#REF!</v>
      </c>
      <c r="F58" s="79"/>
      <c r="G58" s="22" t="e">
        <f t="shared" si="9"/>
        <v>#REF!</v>
      </c>
      <c r="H58" s="22" t="e">
        <f>IF(G58=0,"",IF(#REF!=0,"",G58*10000/#REF!))</f>
        <v>#REF!</v>
      </c>
      <c r="I58" s="336"/>
      <c r="J58" s="336"/>
      <c r="K58" s="336"/>
      <c r="L58" s="336"/>
      <c r="M58" s="333"/>
    </row>
    <row r="59" s="2" customFormat="1" ht="15" customHeight="1" outlineLevel="1" spans="1:13">
      <c r="A59" s="19" t="s">
        <v>622</v>
      </c>
      <c r="B59" s="20" t="s">
        <v>2355</v>
      </c>
      <c r="C59" s="21" t="s">
        <v>601</v>
      </c>
      <c r="D59" s="21">
        <v>1</v>
      </c>
      <c r="E59" s="23"/>
      <c r="F59" s="79"/>
      <c r="G59" s="22">
        <f t="shared" si="9"/>
        <v>0</v>
      </c>
      <c r="H59" s="22" t="str">
        <f>IF(G59=0,"",IF(#REF!=0,"",G59*10000/#REF!))</f>
        <v/>
      </c>
      <c r="I59" s="336"/>
      <c r="J59" s="336"/>
      <c r="K59" s="336"/>
      <c r="L59" s="336"/>
      <c r="M59" s="333"/>
    </row>
    <row r="60" s="2" customFormat="1" ht="15" customHeight="1" outlineLevel="1" spans="1:13">
      <c r="A60" s="19" t="s">
        <v>622</v>
      </c>
      <c r="B60" s="20" t="s">
        <v>2285</v>
      </c>
      <c r="C60" s="22" t="s">
        <v>505</v>
      </c>
      <c r="D60" s="49"/>
      <c r="E60" s="23"/>
      <c r="F60" s="79"/>
      <c r="G60" s="22" t="e">
        <f>SUM(G61:G67)</f>
        <v>#REF!</v>
      </c>
      <c r="H60" s="22" t="e">
        <f>IF(G60=0,"",IF(#REF!=0,"",G60*10000/#REF!))</f>
        <v>#REF!</v>
      </c>
      <c r="I60" s="336"/>
      <c r="J60" s="336"/>
      <c r="K60" s="336"/>
      <c r="L60" s="336"/>
      <c r="M60" s="341"/>
    </row>
    <row r="61" s="2" customFormat="1" ht="15" customHeight="1" outlineLevel="1" spans="1:13">
      <c r="A61" s="19"/>
      <c r="B61" s="117" t="s">
        <v>2356</v>
      </c>
      <c r="C61" s="21" t="s">
        <v>505</v>
      </c>
      <c r="D61" s="21">
        <v>1</v>
      </c>
      <c r="E61" s="23" t="e">
        <f>#REF!</f>
        <v>#REF!</v>
      </c>
      <c r="F61" s="324">
        <v>45</v>
      </c>
      <c r="G61" s="22" t="e">
        <f t="shared" si="9"/>
        <v>#REF!</v>
      </c>
      <c r="H61" s="22" t="e">
        <f>IF(G61=0,"",IF(#REF!=0,"",G61*10000/#REF!))</f>
        <v>#REF!</v>
      </c>
      <c r="I61" s="336"/>
      <c r="J61" s="336"/>
      <c r="K61" s="336"/>
      <c r="L61" s="336"/>
      <c r="M61" s="333"/>
    </row>
    <row r="62" s="2" customFormat="1" ht="15" customHeight="1" outlineLevel="1" spans="1:13">
      <c r="A62" s="19"/>
      <c r="B62" s="117" t="s">
        <v>2357</v>
      </c>
      <c r="C62" s="21" t="s">
        <v>505</v>
      </c>
      <c r="D62" s="21">
        <v>1</v>
      </c>
      <c r="E62" s="23" t="e">
        <f>#REF!</f>
        <v>#REF!</v>
      </c>
      <c r="F62" s="79">
        <v>7</v>
      </c>
      <c r="G62" s="22" t="e">
        <f t="shared" si="9"/>
        <v>#REF!</v>
      </c>
      <c r="H62" s="22" t="e">
        <f>IF(G62=0,"",IF(#REF!=0,"",G62*10000/#REF!))</f>
        <v>#REF!</v>
      </c>
      <c r="I62" s="336"/>
      <c r="J62" s="336"/>
      <c r="K62" s="336"/>
      <c r="L62" s="336"/>
      <c r="M62" s="333"/>
    </row>
    <row r="63" s="2" customFormat="1" ht="15" customHeight="1" outlineLevel="1" spans="1:13">
      <c r="A63" s="19"/>
      <c r="B63" s="117" t="s">
        <v>2288</v>
      </c>
      <c r="C63" s="21" t="s">
        <v>505</v>
      </c>
      <c r="D63" s="21">
        <v>1</v>
      </c>
      <c r="E63" s="23" t="e">
        <f>#REF!</f>
        <v>#REF!</v>
      </c>
      <c r="F63" s="324">
        <v>25</v>
      </c>
      <c r="G63" s="22" t="e">
        <f t="shared" si="9"/>
        <v>#REF!</v>
      </c>
      <c r="H63" s="22" t="e">
        <f>IF(G63=0,"",IF(#REF!=0,"",G63*10000/#REF!))</f>
        <v>#REF!</v>
      </c>
      <c r="I63" s="336"/>
      <c r="J63" s="336"/>
      <c r="K63" s="336"/>
      <c r="L63" s="336"/>
      <c r="M63" s="333"/>
    </row>
    <row r="64" s="2" customFormat="1" ht="15" customHeight="1" outlineLevel="1" spans="1:13">
      <c r="A64" s="19"/>
      <c r="B64" s="107" t="s">
        <v>2289</v>
      </c>
      <c r="C64" s="65" t="s">
        <v>505</v>
      </c>
      <c r="D64" s="65">
        <v>1</v>
      </c>
      <c r="E64" s="23" t="e">
        <f>#REF!</f>
        <v>#REF!</v>
      </c>
      <c r="F64" s="79">
        <v>1</v>
      </c>
      <c r="G64" s="22" t="e">
        <f t="shared" si="9"/>
        <v>#REF!</v>
      </c>
      <c r="H64" s="22" t="e">
        <f>IF(G64=0,"",IF(#REF!=0,"",G64*10000/#REF!))</f>
        <v>#REF!</v>
      </c>
      <c r="I64" s="336"/>
      <c r="J64" s="336"/>
      <c r="K64" s="336"/>
      <c r="L64" s="336"/>
      <c r="M64" s="333"/>
    </row>
    <row r="65" s="2" customFormat="1" ht="15" customHeight="1" outlineLevel="1" spans="1:13">
      <c r="A65" s="19"/>
      <c r="B65" s="107" t="s">
        <v>2290</v>
      </c>
      <c r="C65" s="65" t="s">
        <v>505</v>
      </c>
      <c r="D65" s="65">
        <v>1</v>
      </c>
      <c r="E65" s="23" t="e">
        <f>#REF!</f>
        <v>#REF!</v>
      </c>
      <c r="F65" s="79">
        <v>6</v>
      </c>
      <c r="G65" s="22" t="e">
        <f t="shared" si="9"/>
        <v>#REF!</v>
      </c>
      <c r="H65" s="22" t="e">
        <f>IF(G65=0,"",IF(#REF!=0,"",G65*10000/#REF!))</f>
        <v>#REF!</v>
      </c>
      <c r="I65" s="336"/>
      <c r="J65" s="336"/>
      <c r="K65" s="336"/>
      <c r="L65" s="336"/>
      <c r="M65" s="333"/>
    </row>
    <row r="66" s="2" customFormat="1" ht="15" customHeight="1" outlineLevel="1" spans="1:13">
      <c r="A66" s="19"/>
      <c r="B66" s="117" t="s">
        <v>2358</v>
      </c>
      <c r="C66" s="21" t="s">
        <v>601</v>
      </c>
      <c r="D66" s="21">
        <v>1</v>
      </c>
      <c r="E66" s="23" t="e">
        <f>#REF!</f>
        <v>#REF!</v>
      </c>
      <c r="F66" s="79">
        <v>100</v>
      </c>
      <c r="G66" s="22" t="e">
        <f t="shared" si="9"/>
        <v>#REF!</v>
      </c>
      <c r="H66" s="22" t="e">
        <f>IF(G66=0,"",IF(#REF!=0,"",G66*10000/#REF!))</f>
        <v>#REF!</v>
      </c>
      <c r="I66" s="336"/>
      <c r="J66" s="336"/>
      <c r="K66" s="336"/>
      <c r="L66" s="336"/>
      <c r="M66" s="333"/>
    </row>
    <row r="67" s="2" customFormat="1" ht="15" customHeight="1" outlineLevel="1" spans="1:13">
      <c r="A67" s="19"/>
      <c r="B67" s="117" t="s">
        <v>2359</v>
      </c>
      <c r="C67" s="21" t="s">
        <v>601</v>
      </c>
      <c r="D67" s="21">
        <v>1</v>
      </c>
      <c r="E67" s="23" t="e">
        <f>#REF!</f>
        <v>#REF!</v>
      </c>
      <c r="F67" s="324">
        <v>400</v>
      </c>
      <c r="G67" s="22" t="e">
        <f t="shared" si="9"/>
        <v>#REF!</v>
      </c>
      <c r="H67" s="22" t="e">
        <f>IF(G67=0,"",IF(#REF!=0,"",G67*10000/#REF!))</f>
        <v>#REF!</v>
      </c>
      <c r="I67" s="336"/>
      <c r="J67" s="336"/>
      <c r="K67" s="336"/>
      <c r="L67" s="336"/>
      <c r="M67" s="333"/>
    </row>
    <row r="68" s="2" customFormat="1" ht="15" customHeight="1" spans="1:13">
      <c r="A68" s="1825" t="s">
        <v>2257</v>
      </c>
      <c r="B68" s="104" t="s">
        <v>2291</v>
      </c>
      <c r="C68" s="16"/>
      <c r="D68" s="16"/>
      <c r="E68" s="17"/>
      <c r="F68" s="81"/>
      <c r="G68" s="16" t="e">
        <f>G69+G71+G72</f>
        <v>#REF!</v>
      </c>
      <c r="H68" s="16" t="e">
        <f>IF(G68=0,"",IF($E$6=0,"",G68*10000/$E$6))</f>
        <v>#REF!</v>
      </c>
      <c r="I68" s="332"/>
      <c r="J68" s="332"/>
      <c r="K68" s="332"/>
      <c r="L68" s="332"/>
      <c r="M68" s="333"/>
    </row>
    <row r="69" s="2" customFormat="1" ht="15" customHeight="1" outlineLevel="1" spans="1:13">
      <c r="A69" s="19" t="s">
        <v>622</v>
      </c>
      <c r="B69" s="22" t="s">
        <v>2293</v>
      </c>
      <c r="C69" s="66" t="s">
        <v>602</v>
      </c>
      <c r="D69" s="22"/>
      <c r="E69" s="23"/>
      <c r="F69" s="79"/>
      <c r="G69" s="22" t="e">
        <f>SUM(G70:G70)</f>
        <v>#REF!</v>
      </c>
      <c r="H69" s="22" t="e">
        <f>IF(G69=0,"",IF(#REF!=0,"",G69*10000/#REF!))</f>
        <v>#REF!</v>
      </c>
      <c r="I69" s="336"/>
      <c r="J69" s="336"/>
      <c r="K69" s="336"/>
      <c r="L69" s="336"/>
      <c r="M69" s="333"/>
    </row>
    <row r="70" s="2" customFormat="1" ht="15" customHeight="1" outlineLevel="1" spans="1:13">
      <c r="A70" s="19"/>
      <c r="B70" s="22" t="s">
        <v>2499</v>
      </c>
      <c r="C70" s="66"/>
      <c r="D70" s="22">
        <v>1</v>
      </c>
      <c r="E70" s="67" t="e">
        <f>#REF!</f>
        <v>#REF!</v>
      </c>
      <c r="F70" s="342">
        <v>340000</v>
      </c>
      <c r="G70" s="22" t="e">
        <f>D70*E70*F70/10000</f>
        <v>#REF!</v>
      </c>
      <c r="H70" s="22"/>
      <c r="I70" s="336"/>
      <c r="J70" s="336"/>
      <c r="K70" s="336"/>
      <c r="L70" s="336"/>
      <c r="M70" s="333" t="s">
        <v>2500</v>
      </c>
    </row>
    <row r="71" s="2" customFormat="1" ht="15" customHeight="1" outlineLevel="1" spans="1:13">
      <c r="A71" s="19" t="s">
        <v>622</v>
      </c>
      <c r="B71" s="22" t="s">
        <v>2361</v>
      </c>
      <c r="C71" s="66"/>
      <c r="D71" s="22"/>
      <c r="E71" s="23"/>
      <c r="F71" s="79"/>
      <c r="G71" s="22">
        <f t="shared" ref="G71:G76" si="10">E71*F71/10000</f>
        <v>0</v>
      </c>
      <c r="H71" s="22" t="str">
        <f>IF(G71=0,"",IF(#REF!=0,"",G71*10000/#REF!))</f>
        <v/>
      </c>
      <c r="I71" s="336"/>
      <c r="J71" s="336"/>
      <c r="K71" s="336"/>
      <c r="L71" s="336"/>
      <c r="M71" s="333"/>
    </row>
    <row r="72" s="2" customFormat="1" ht="15" customHeight="1" outlineLevel="1" spans="1:13">
      <c r="A72" s="19" t="s">
        <v>622</v>
      </c>
      <c r="B72" s="22" t="s">
        <v>2295</v>
      </c>
      <c r="C72" s="22" t="s">
        <v>505</v>
      </c>
      <c r="D72" s="21">
        <v>1</v>
      </c>
      <c r="E72" s="23" t="e">
        <f>#REF!</f>
        <v>#REF!</v>
      </c>
      <c r="F72" s="85" t="e">
        <f>#REF!</f>
        <v>#REF!</v>
      </c>
      <c r="G72" s="22" t="e">
        <f>D72*E72*F72/10000</f>
        <v>#REF!</v>
      </c>
      <c r="H72" s="22" t="e">
        <f>IF(G72=0,"",IF(#REF!=0,"",G72*10000/#REF!))</f>
        <v>#REF!</v>
      </c>
      <c r="I72" s="336"/>
      <c r="J72" s="336"/>
      <c r="K72" s="336"/>
      <c r="L72" s="336"/>
      <c r="M72" s="333"/>
    </row>
    <row r="73" s="2" customFormat="1" ht="15" customHeight="1" spans="1:13">
      <c r="A73" s="1825" t="s">
        <v>2362</v>
      </c>
      <c r="B73" s="104" t="s">
        <v>2363</v>
      </c>
      <c r="C73" s="16"/>
      <c r="D73" s="16"/>
      <c r="E73" s="17"/>
      <c r="F73" s="81"/>
      <c r="G73" s="16" t="e">
        <f>SUM(G74:G76)</f>
        <v>#REF!</v>
      </c>
      <c r="H73" s="16" t="e">
        <f>IF(G73=0,"",IF($E$6=0,"",G73*10000/$E$6))</f>
        <v>#REF!</v>
      </c>
      <c r="I73" s="332"/>
      <c r="J73" s="332"/>
      <c r="K73" s="332"/>
      <c r="L73" s="332"/>
      <c r="M73" s="341"/>
    </row>
    <row r="74" s="2" customFormat="1" ht="15" customHeight="1" outlineLevel="1" spans="1:13">
      <c r="A74" s="19" t="s">
        <v>622</v>
      </c>
      <c r="B74" s="22" t="s">
        <v>2365</v>
      </c>
      <c r="C74" s="66" t="s">
        <v>601</v>
      </c>
      <c r="D74" s="21">
        <v>1</v>
      </c>
      <c r="E74" s="23" t="e">
        <f>#REF!</f>
        <v>#REF!</v>
      </c>
      <c r="F74" s="324">
        <v>200</v>
      </c>
      <c r="G74" s="22" t="e">
        <f t="shared" si="10"/>
        <v>#REF!</v>
      </c>
      <c r="H74" s="22" t="e">
        <f>IF(G74=0,"",IF(#REF!=0,"",G74*10000/#REF!))</f>
        <v>#REF!</v>
      </c>
      <c r="I74" s="336"/>
      <c r="J74" s="336"/>
      <c r="K74" s="336"/>
      <c r="L74" s="336"/>
      <c r="M74" s="333" t="s">
        <v>2366</v>
      </c>
    </row>
    <row r="75" s="2" customFormat="1" ht="15" customHeight="1" outlineLevel="1" spans="1:13">
      <c r="A75" s="19" t="s">
        <v>622</v>
      </c>
      <c r="B75" s="22" t="s">
        <v>2367</v>
      </c>
      <c r="C75" s="66" t="s">
        <v>601</v>
      </c>
      <c r="D75" s="21">
        <v>1</v>
      </c>
      <c r="E75" s="23" t="e">
        <f>#REF!</f>
        <v>#REF!</v>
      </c>
      <c r="F75" s="79"/>
      <c r="G75" s="22" t="e">
        <f t="shared" si="10"/>
        <v>#REF!</v>
      </c>
      <c r="H75" s="22" t="e">
        <f>IF(G75=0,"",IF(#REF!=0,"",G75*10000/#REF!))</f>
        <v>#REF!</v>
      </c>
      <c r="I75" s="336"/>
      <c r="J75" s="336"/>
      <c r="K75" s="336"/>
      <c r="L75" s="336"/>
      <c r="M75" s="333"/>
    </row>
    <row r="76" s="2" customFormat="1" ht="15" customHeight="1" outlineLevel="1" spans="1:13">
      <c r="A76" s="68" t="s">
        <v>622</v>
      </c>
      <c r="B76" s="71" t="s">
        <v>2368</v>
      </c>
      <c r="C76" s="70" t="s">
        <v>601</v>
      </c>
      <c r="D76" s="71"/>
      <c r="E76" s="72"/>
      <c r="F76" s="71"/>
      <c r="G76" s="71">
        <f t="shared" si="10"/>
        <v>0</v>
      </c>
      <c r="H76" s="71" t="s">
        <v>511</v>
      </c>
      <c r="I76" s="343"/>
      <c r="J76" s="343"/>
      <c r="K76" s="343"/>
      <c r="L76" s="343"/>
      <c r="M76" s="344"/>
    </row>
  </sheetData>
  <pageMargins left="0.75" right="0.75" top="1" bottom="1" header="0.5" footer="0.5"/>
  <pageSetup paperSize="9" orientation="portrait"/>
  <headerFooter alignWithMargins="0"/>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96"/>
  <sheetViews>
    <sheetView workbookViewId="0">
      <selection activeCell="G73" sqref="G73"/>
    </sheetView>
  </sheetViews>
  <sheetFormatPr defaultColWidth="9" defaultRowHeight="12"/>
  <cols>
    <col min="1" max="1" width="4.6" style="4" customWidth="1"/>
    <col min="2" max="2" width="24.4" style="4" customWidth="1"/>
    <col min="3" max="3" width="13.6" style="5" customWidth="1"/>
    <col min="4" max="4" width="6.1" style="1" customWidth="1"/>
    <col min="5" max="5" width="7.1" style="1" customWidth="1"/>
    <col min="6" max="6" width="8.1" style="1" customWidth="1"/>
    <col min="7" max="7" width="10.5" style="1" customWidth="1"/>
    <col min="8" max="8" width="8.1" style="1" customWidth="1"/>
    <col min="9" max="10" width="8.1" style="1" hidden="1" customWidth="1"/>
    <col min="11" max="11" width="10" style="1" hidden="1" customWidth="1"/>
    <col min="12" max="12" width="8.1" style="1" hidden="1" customWidth="1"/>
    <col min="13" max="13" width="25.4" style="4" customWidth="1"/>
    <col min="14" max="14" width="6.1" style="4" customWidth="1"/>
    <col min="15" max="16384" width="9" style="4"/>
  </cols>
  <sheetData>
    <row r="1" ht="18.15" customHeight="1" spans="2:5">
      <c r="B1" s="6" t="e">
        <f>#REF!</f>
        <v>#REF!</v>
      </c>
      <c r="C1" s="7" t="s">
        <v>1524</v>
      </c>
      <c r="D1" s="7"/>
      <c r="E1" s="7"/>
    </row>
    <row r="2" s="1" customFormat="1" ht="30" customHeight="1" spans="1:13">
      <c r="A2" s="8" t="s">
        <v>21</v>
      </c>
      <c r="B2" s="9" t="s">
        <v>494</v>
      </c>
      <c r="C2" s="9" t="s">
        <v>606</v>
      </c>
      <c r="D2" s="9" t="s">
        <v>1295</v>
      </c>
      <c r="E2" s="1830" t="s">
        <v>2322</v>
      </c>
      <c r="F2" s="1830" t="s">
        <v>2240</v>
      </c>
      <c r="G2" s="9" t="s">
        <v>2241</v>
      </c>
      <c r="H2" s="9" t="s">
        <v>503</v>
      </c>
      <c r="I2" s="51" t="s">
        <v>2242</v>
      </c>
      <c r="J2" s="52" t="s">
        <v>2243</v>
      </c>
      <c r="K2" s="52" t="s">
        <v>2244</v>
      </c>
      <c r="L2" s="53" t="s">
        <v>2245</v>
      </c>
      <c r="M2" s="54" t="s">
        <v>1300</v>
      </c>
    </row>
    <row r="3" s="2" customFormat="1" ht="18.75" customHeight="1" spans="1:13">
      <c r="A3" s="102" t="s">
        <v>533</v>
      </c>
      <c r="B3" s="103" t="s">
        <v>2246</v>
      </c>
      <c r="C3" s="12"/>
      <c r="D3" s="12"/>
      <c r="E3" s="12"/>
      <c r="F3" s="12"/>
      <c r="G3" s="13" t="e">
        <f>G4+G11+G77+G62+G83</f>
        <v>#REF!</v>
      </c>
      <c r="H3" s="13" t="e">
        <f>IF(G3=0,"",IF(#REF!=0,"",G3*10000/#REF!))</f>
        <v>#REF!</v>
      </c>
      <c r="I3" s="55"/>
      <c r="J3" s="55"/>
      <c r="K3" s="55"/>
      <c r="L3" s="55"/>
      <c r="M3" s="56"/>
    </row>
    <row r="4" s="2" customFormat="1" ht="15" customHeight="1" spans="1:13">
      <c r="A4" s="1825" t="s">
        <v>2247</v>
      </c>
      <c r="B4" s="15" t="s">
        <v>2248</v>
      </c>
      <c r="C4" s="104"/>
      <c r="D4" s="104"/>
      <c r="E4" s="105"/>
      <c r="F4" s="104"/>
      <c r="G4" s="106" t="e">
        <f>G5+G6+G7+G10</f>
        <v>#REF!</v>
      </c>
      <c r="H4" s="106" t="e">
        <f>IF(G4=0,"",IF(#REF!=0,"",G4*10000/#REF!))</f>
        <v>#REF!</v>
      </c>
      <c r="I4" s="130"/>
      <c r="J4" s="130"/>
      <c r="K4" s="130"/>
      <c r="L4" s="130"/>
      <c r="M4" s="131"/>
    </row>
    <row r="5" s="2" customFormat="1" ht="15" customHeight="1" spans="1:13">
      <c r="A5" s="19" t="s">
        <v>622</v>
      </c>
      <c r="B5" s="20" t="s">
        <v>2249</v>
      </c>
      <c r="C5" s="22" t="s">
        <v>505</v>
      </c>
      <c r="D5" s="22"/>
      <c r="E5" s="23"/>
      <c r="F5" s="22"/>
      <c r="G5" s="25">
        <f t="shared" ref="G5:G9" si="0">E5*F5*D5/10000</f>
        <v>0</v>
      </c>
      <c r="H5" s="25" t="str">
        <f>IF(G5=0,"",IF(#REF!=0,"",G5*10000/#REF!))</f>
        <v/>
      </c>
      <c r="I5" s="59"/>
      <c r="J5" s="59"/>
      <c r="K5" s="59"/>
      <c r="L5" s="59"/>
      <c r="M5" s="58"/>
    </row>
    <row r="6" s="2" customFormat="1" ht="15" customHeight="1" spans="1:13">
      <c r="A6" s="19" t="s">
        <v>622</v>
      </c>
      <c r="B6" s="64" t="s">
        <v>833</v>
      </c>
      <c r="C6" s="22" t="s">
        <v>505</v>
      </c>
      <c r="D6" s="22">
        <v>1</v>
      </c>
      <c r="E6" s="23" t="e">
        <f>#REF!</f>
        <v>#REF!</v>
      </c>
      <c r="F6" s="23">
        <f>'超高层(46)'!H14</f>
        <v>70</v>
      </c>
      <c r="G6" s="25" t="e">
        <f t="shared" si="0"/>
        <v>#REF!</v>
      </c>
      <c r="H6" s="25" t="e">
        <f>IF(G6=0,"",IF(#REF!=0,"",G6*10000/#REF!))</f>
        <v>#REF!</v>
      </c>
      <c r="I6" s="59"/>
      <c r="J6" s="59"/>
      <c r="K6" s="59"/>
      <c r="L6" s="59"/>
      <c r="M6" s="58"/>
    </row>
    <row r="7" s="2" customFormat="1" ht="15" customHeight="1" spans="1:13">
      <c r="A7" s="19" t="s">
        <v>622</v>
      </c>
      <c r="B7" s="64" t="s">
        <v>2254</v>
      </c>
      <c r="C7" s="22"/>
      <c r="D7" s="22"/>
      <c r="E7" s="23"/>
      <c r="F7" s="23"/>
      <c r="G7" s="25" t="e">
        <f>SUM(G8:G9)</f>
        <v>#REF!</v>
      </c>
      <c r="H7" s="25" t="e">
        <f>IF(G7=0,"",IF(#REF!=0,"",G7*10000/#REF!))</f>
        <v>#REF!</v>
      </c>
      <c r="I7" s="59"/>
      <c r="J7" s="59"/>
      <c r="K7" s="59"/>
      <c r="L7" s="59"/>
      <c r="M7" s="58"/>
    </row>
    <row r="8" s="2" customFormat="1" ht="15" customHeight="1" spans="1:13">
      <c r="A8" s="19"/>
      <c r="B8" s="107" t="s">
        <v>2255</v>
      </c>
      <c r="C8" s="22" t="s">
        <v>505</v>
      </c>
      <c r="D8" s="22">
        <v>1</v>
      </c>
      <c r="E8" s="23" t="e">
        <f>#REF!</f>
        <v>#REF!</v>
      </c>
      <c r="F8" s="23">
        <f>'超高层(46)'!H16</f>
        <v>185</v>
      </c>
      <c r="G8" s="25" t="e">
        <f t="shared" si="0"/>
        <v>#REF!</v>
      </c>
      <c r="H8" s="25"/>
      <c r="I8" s="59"/>
      <c r="J8" s="59"/>
      <c r="K8" s="59"/>
      <c r="L8" s="59"/>
      <c r="M8" s="58"/>
    </row>
    <row r="9" s="2" customFormat="1" ht="15" customHeight="1" spans="1:13">
      <c r="A9" s="19"/>
      <c r="B9" s="107" t="s">
        <v>2256</v>
      </c>
      <c r="C9" s="22" t="s">
        <v>505</v>
      </c>
      <c r="D9" s="22">
        <v>1</v>
      </c>
      <c r="E9" s="23" t="e">
        <f>#REF!</f>
        <v>#REF!</v>
      </c>
      <c r="F9" s="23">
        <f>'超高层(46)'!J17</f>
        <v>0</v>
      </c>
      <c r="G9" s="25" t="e">
        <f t="shared" si="0"/>
        <v>#REF!</v>
      </c>
      <c r="H9" s="25"/>
      <c r="I9" s="59"/>
      <c r="J9" s="59"/>
      <c r="K9" s="59"/>
      <c r="L9" s="59"/>
      <c r="M9" s="58"/>
    </row>
    <row r="10" s="2" customFormat="1" ht="15" customHeight="1" spans="1:13">
      <c r="A10" s="19" t="s">
        <v>622</v>
      </c>
      <c r="B10" s="64" t="s">
        <v>849</v>
      </c>
      <c r="C10" s="22"/>
      <c r="D10" s="22"/>
      <c r="E10" s="23"/>
      <c r="F10" s="23"/>
      <c r="G10" s="25"/>
      <c r="H10" s="25"/>
      <c r="I10" s="59"/>
      <c r="J10" s="59"/>
      <c r="K10" s="59"/>
      <c r="L10" s="59"/>
      <c r="M10" s="58"/>
    </row>
    <row r="11" s="2" customFormat="1" ht="15" customHeight="1" spans="1:13">
      <c r="A11" s="1825" t="s">
        <v>2257</v>
      </c>
      <c r="B11" s="15" t="s">
        <v>2258</v>
      </c>
      <c r="C11" s="104"/>
      <c r="D11" s="104"/>
      <c r="E11" s="105"/>
      <c r="F11" s="105"/>
      <c r="G11" s="106" t="e">
        <f>G12+G16+G17+G24+G31+G34+G35</f>
        <v>#REF!</v>
      </c>
      <c r="H11" s="106" t="e">
        <f>IF(G11=0,"",IF(#REF!=0,"",G11*10000/#REF!))</f>
        <v>#REF!</v>
      </c>
      <c r="I11" s="130"/>
      <c r="J11" s="130"/>
      <c r="K11" s="130"/>
      <c r="L11" s="130"/>
      <c r="M11" s="132"/>
    </row>
    <row r="12" s="2" customFormat="1" ht="15" customHeight="1" spans="1:13">
      <c r="A12" s="26" t="s">
        <v>622</v>
      </c>
      <c r="B12" s="1826" t="s">
        <v>2259</v>
      </c>
      <c r="C12" s="22" t="s">
        <v>505</v>
      </c>
      <c r="D12" s="22"/>
      <c r="E12" s="23"/>
      <c r="F12" s="23"/>
      <c r="G12" s="28" t="e">
        <f>SUM(G13:G15)</f>
        <v>#REF!</v>
      </c>
      <c r="H12" s="28" t="e">
        <f>IF(G12=0,"",IF(#REF!=0,"",G12*10000/#REF!))</f>
        <v>#REF!</v>
      </c>
      <c r="I12" s="43"/>
      <c r="J12" s="43"/>
      <c r="K12" s="43"/>
      <c r="L12" s="43"/>
      <c r="M12" s="58"/>
    </row>
    <row r="13" s="2" customFormat="1" ht="15" customHeight="1" spans="1:13">
      <c r="A13" s="26"/>
      <c r="B13" s="1827" t="s">
        <v>1536</v>
      </c>
      <c r="C13" s="22" t="s">
        <v>505</v>
      </c>
      <c r="D13" s="22">
        <v>1</v>
      </c>
      <c r="E13" s="23" t="e">
        <f>#REF!</f>
        <v>#REF!</v>
      </c>
      <c r="F13" s="109">
        <v>460</v>
      </c>
      <c r="G13" s="28" t="e">
        <f t="shared" ref="G13:G16" si="1">D13*E13*F13/10000</f>
        <v>#REF!</v>
      </c>
      <c r="H13" s="28"/>
      <c r="I13" s="43"/>
      <c r="J13" s="43"/>
      <c r="K13" s="43"/>
      <c r="L13" s="43"/>
      <c r="M13" s="58"/>
    </row>
    <row r="14" s="2" customFormat="1" ht="15" customHeight="1" spans="1:13">
      <c r="A14" s="26"/>
      <c r="B14" s="1827" t="s">
        <v>1543</v>
      </c>
      <c r="C14" s="22" t="s">
        <v>505</v>
      </c>
      <c r="D14" s="22">
        <v>110</v>
      </c>
      <c r="E14" s="23" t="e">
        <f>#REF!</f>
        <v>#REF!</v>
      </c>
      <c r="F14" s="109" t="e">
        <f>#REF!</f>
        <v>#REF!</v>
      </c>
      <c r="G14" s="28" t="e">
        <f t="shared" si="1"/>
        <v>#REF!</v>
      </c>
      <c r="H14" s="28"/>
      <c r="I14" s="43"/>
      <c r="J14" s="43"/>
      <c r="K14" s="43"/>
      <c r="L14" s="43"/>
      <c r="M14" s="58"/>
    </row>
    <row r="15" s="2" customFormat="1" ht="15" customHeight="1" spans="1:13">
      <c r="A15" s="26"/>
      <c r="B15" s="1827" t="s">
        <v>1550</v>
      </c>
      <c r="C15" s="22" t="s">
        <v>505</v>
      </c>
      <c r="D15" s="22">
        <v>4</v>
      </c>
      <c r="E15" s="23" t="e">
        <f>#REF!</f>
        <v>#REF!</v>
      </c>
      <c r="F15" s="109" t="e">
        <f>#REF!</f>
        <v>#REF!</v>
      </c>
      <c r="G15" s="28" t="e">
        <f t="shared" si="1"/>
        <v>#REF!</v>
      </c>
      <c r="H15" s="28"/>
      <c r="I15" s="43"/>
      <c r="J15" s="43"/>
      <c r="K15" s="43"/>
      <c r="L15" s="43"/>
      <c r="M15" s="58"/>
    </row>
    <row r="16" s="2" customFormat="1" ht="15" customHeight="1" spans="1:13">
      <c r="A16" s="26" t="s">
        <v>622</v>
      </c>
      <c r="B16" s="1828" t="s">
        <v>1552</v>
      </c>
      <c r="C16" s="22" t="s">
        <v>505</v>
      </c>
      <c r="D16" s="22">
        <v>0.2</v>
      </c>
      <c r="E16" s="23" t="e">
        <f>#REF!</f>
        <v>#REF!</v>
      </c>
      <c r="F16" s="109" t="e">
        <f>#REF!</f>
        <v>#REF!</v>
      </c>
      <c r="G16" s="28" t="e">
        <f t="shared" si="1"/>
        <v>#REF!</v>
      </c>
      <c r="H16" s="28" t="e">
        <f>IF(G16=0,"",IF(#REF!=0,"",G16*10000/#REF!))</f>
        <v>#REF!</v>
      </c>
      <c r="I16" s="43"/>
      <c r="J16" s="43"/>
      <c r="K16" s="43"/>
      <c r="L16" s="43"/>
      <c r="M16" s="58"/>
    </row>
    <row r="17" s="2" customFormat="1" ht="15" customHeight="1" spans="1:13">
      <c r="A17" s="26" t="s">
        <v>622</v>
      </c>
      <c r="B17" s="1828" t="s">
        <v>1564</v>
      </c>
      <c r="C17" s="22" t="s">
        <v>505</v>
      </c>
      <c r="D17" s="22"/>
      <c r="E17" s="23"/>
      <c r="F17" s="111"/>
      <c r="G17" s="28" t="e">
        <f>SUM(G18:G23)</f>
        <v>#REF!</v>
      </c>
      <c r="H17" s="28" t="e">
        <f>IF(G17=0,"",IF(#REF!=0,"",G17*10000/#REF!))</f>
        <v>#REF!</v>
      </c>
      <c r="I17" s="43"/>
      <c r="J17" s="43"/>
      <c r="K17" s="43"/>
      <c r="L17" s="43"/>
      <c r="M17" s="58"/>
    </row>
    <row r="18" s="2" customFormat="1" ht="15" customHeight="1" spans="1:13">
      <c r="A18" s="26"/>
      <c r="B18" s="34" t="s">
        <v>2260</v>
      </c>
      <c r="C18" s="22" t="s">
        <v>505</v>
      </c>
      <c r="D18" s="40">
        <f>高层18!D16</f>
        <v>0.9</v>
      </c>
      <c r="E18" s="23" t="e">
        <f>#REF!</f>
        <v>#REF!</v>
      </c>
      <c r="F18" s="109" t="e">
        <f>#REF!</f>
        <v>#REF!</v>
      </c>
      <c r="G18" s="28" t="e">
        <f t="shared" ref="G18:G23" si="2">E18*F18*D18/10000</f>
        <v>#REF!</v>
      </c>
      <c r="H18" s="28"/>
      <c r="I18" s="43"/>
      <c r="J18" s="43"/>
      <c r="K18" s="43"/>
      <c r="L18" s="43"/>
      <c r="M18" s="58"/>
    </row>
    <row r="19" s="2" customFormat="1" ht="15" customHeight="1" spans="1:13">
      <c r="A19" s="26"/>
      <c r="B19" s="34" t="s">
        <v>2261</v>
      </c>
      <c r="C19" s="22" t="s">
        <v>505</v>
      </c>
      <c r="D19" s="40">
        <v>1.8</v>
      </c>
      <c r="E19" s="23" t="e">
        <f>#REF!</f>
        <v>#REF!</v>
      </c>
      <c r="F19" s="109" t="e">
        <f>#REF!</f>
        <v>#REF!</v>
      </c>
      <c r="G19" s="28" t="e">
        <f t="shared" si="2"/>
        <v>#REF!</v>
      </c>
      <c r="H19" s="28"/>
      <c r="I19" s="43"/>
      <c r="J19" s="43"/>
      <c r="K19" s="43"/>
      <c r="L19" s="43"/>
      <c r="M19" s="58"/>
    </row>
    <row r="20" s="2" customFormat="1" ht="15" customHeight="1" spans="1:13">
      <c r="A20" s="26"/>
      <c r="B20" s="34" t="s">
        <v>2262</v>
      </c>
      <c r="C20" s="22" t="s">
        <v>505</v>
      </c>
      <c r="D20" s="40">
        <v>1.2</v>
      </c>
      <c r="E20" s="23" t="e">
        <f>#REF!</f>
        <v>#REF!</v>
      </c>
      <c r="F20" s="109" t="e">
        <f>#REF!</f>
        <v>#REF!</v>
      </c>
      <c r="G20" s="28" t="e">
        <f t="shared" si="2"/>
        <v>#REF!</v>
      </c>
      <c r="H20" s="28"/>
      <c r="I20" s="43"/>
      <c r="J20" s="43"/>
      <c r="K20" s="43"/>
      <c r="L20" s="43"/>
      <c r="M20" s="58"/>
    </row>
    <row r="21" s="2" customFormat="1" ht="15" customHeight="1" spans="1:13">
      <c r="A21" s="26"/>
      <c r="B21" s="34" t="s">
        <v>2263</v>
      </c>
      <c r="C21" s="22" t="s">
        <v>505</v>
      </c>
      <c r="D21" s="40">
        <f>高层18!D18</f>
        <v>1.9</v>
      </c>
      <c r="E21" s="23" t="e">
        <f>#REF!</f>
        <v>#REF!</v>
      </c>
      <c r="F21" s="109" t="e">
        <f>#REF!</f>
        <v>#REF!</v>
      </c>
      <c r="G21" s="28" t="e">
        <f t="shared" si="2"/>
        <v>#REF!</v>
      </c>
      <c r="H21" s="28"/>
      <c r="I21" s="43"/>
      <c r="J21" s="43"/>
      <c r="K21" s="43"/>
      <c r="L21" s="43"/>
      <c r="M21" s="58"/>
    </row>
    <row r="22" s="2" customFormat="1" ht="15" customHeight="1" spans="1:13">
      <c r="A22" s="26"/>
      <c r="B22" s="34" t="s">
        <v>2264</v>
      </c>
      <c r="C22" s="22" t="s">
        <v>505</v>
      </c>
      <c r="D22" s="40">
        <f>高层18!D19</f>
        <v>0.5</v>
      </c>
      <c r="E22" s="23" t="e">
        <f>#REF!</f>
        <v>#REF!</v>
      </c>
      <c r="F22" s="109" t="e">
        <f>#REF!</f>
        <v>#REF!</v>
      </c>
      <c r="G22" s="28" t="e">
        <f t="shared" si="2"/>
        <v>#REF!</v>
      </c>
      <c r="H22" s="28"/>
      <c r="I22" s="43"/>
      <c r="J22" s="43"/>
      <c r="K22" s="43"/>
      <c r="L22" s="43"/>
      <c r="M22" s="58"/>
    </row>
    <row r="23" s="2" customFormat="1" ht="15" customHeight="1" spans="1:13">
      <c r="A23" s="26"/>
      <c r="B23" s="34" t="s">
        <v>2265</v>
      </c>
      <c r="C23" s="22" t="s">
        <v>505</v>
      </c>
      <c r="D23" s="40"/>
      <c r="E23" s="23" t="e">
        <f>#REF!</f>
        <v>#REF!</v>
      </c>
      <c r="F23" s="109" t="e">
        <f>#REF!</f>
        <v>#REF!</v>
      </c>
      <c r="G23" s="28" t="e">
        <f t="shared" si="2"/>
        <v>#REF!</v>
      </c>
      <c r="H23" s="28"/>
      <c r="I23" s="43"/>
      <c r="J23" s="43"/>
      <c r="K23" s="43"/>
      <c r="L23" s="43"/>
      <c r="M23" s="58"/>
    </row>
    <row r="24" s="2" customFormat="1" ht="15" customHeight="1" spans="1:13">
      <c r="A24" s="26" t="s">
        <v>622</v>
      </c>
      <c r="B24" s="1828" t="s">
        <v>2266</v>
      </c>
      <c r="C24" s="22"/>
      <c r="D24" s="79"/>
      <c r="E24" s="23"/>
      <c r="F24" s="111"/>
      <c r="G24" s="28" t="e">
        <f>SUM(G25:G30)</f>
        <v>#REF!</v>
      </c>
      <c r="H24" s="28" t="e">
        <f>IF(G24=0,"",IF(#REF!=0,"",G24*10000/#REF!))</f>
        <v>#REF!</v>
      </c>
      <c r="I24" s="43"/>
      <c r="J24" s="43"/>
      <c r="K24" s="43"/>
      <c r="L24" s="43"/>
      <c r="M24" s="58"/>
    </row>
    <row r="25" s="2" customFormat="1" ht="15" customHeight="1" spans="1:13">
      <c r="A25" s="26"/>
      <c r="B25" s="34" t="s">
        <v>2267</v>
      </c>
      <c r="C25" s="22" t="s">
        <v>505</v>
      </c>
      <c r="D25" s="112">
        <v>0.03</v>
      </c>
      <c r="E25" s="23" t="e">
        <f>#REF!</f>
        <v>#REF!</v>
      </c>
      <c r="F25" s="109" t="e">
        <f>#REF!</f>
        <v>#REF!</v>
      </c>
      <c r="G25" s="28" t="e">
        <f t="shared" ref="G25:G30" si="3">E25*F25*D25/10000</f>
        <v>#REF!</v>
      </c>
      <c r="H25" s="28"/>
      <c r="I25" s="43"/>
      <c r="J25" s="43"/>
      <c r="K25" s="43"/>
      <c r="L25" s="43"/>
      <c r="M25" s="58"/>
    </row>
    <row r="26" s="2" customFormat="1" ht="15" customHeight="1" spans="1:13">
      <c r="A26" s="26"/>
      <c r="B26" s="34" t="s">
        <v>2268</v>
      </c>
      <c r="C26" s="22" t="s">
        <v>505</v>
      </c>
      <c r="D26" s="112">
        <v>0.12</v>
      </c>
      <c r="E26" s="23" t="e">
        <f>#REF!</f>
        <v>#REF!</v>
      </c>
      <c r="F26" s="109" t="e">
        <f>#REF!</f>
        <v>#REF!</v>
      </c>
      <c r="G26" s="28" t="e">
        <f t="shared" si="3"/>
        <v>#REF!</v>
      </c>
      <c r="H26" s="28"/>
      <c r="I26" s="43"/>
      <c r="J26" s="43"/>
      <c r="K26" s="43"/>
      <c r="L26" s="43"/>
      <c r="M26" s="58"/>
    </row>
    <row r="27" s="2" customFormat="1" ht="15" customHeight="1" spans="1:13">
      <c r="A27" s="26"/>
      <c r="B27" s="34" t="s">
        <v>2269</v>
      </c>
      <c r="C27" s="22" t="s">
        <v>505</v>
      </c>
      <c r="D27" s="112">
        <v>0.15</v>
      </c>
      <c r="E27" s="23" t="e">
        <f>#REF!</f>
        <v>#REF!</v>
      </c>
      <c r="F27" s="109" t="e">
        <f>#REF!</f>
        <v>#REF!</v>
      </c>
      <c r="G27" s="28" t="e">
        <f t="shared" si="3"/>
        <v>#REF!</v>
      </c>
      <c r="H27" s="28"/>
      <c r="I27" s="43"/>
      <c r="J27" s="43"/>
      <c r="K27" s="43"/>
      <c r="L27" s="43"/>
      <c r="M27" s="58"/>
    </row>
    <row r="28" s="2" customFormat="1" ht="15" customHeight="1" spans="1:13">
      <c r="A28" s="26"/>
      <c r="B28" s="34" t="s">
        <v>2270</v>
      </c>
      <c r="C28" s="80" t="s">
        <v>598</v>
      </c>
      <c r="D28" s="113">
        <v>1</v>
      </c>
      <c r="E28" s="23" t="e">
        <f>#REF!</f>
        <v>#REF!</v>
      </c>
      <c r="F28" s="109" t="e">
        <f>#REF!</f>
        <v>#REF!</v>
      </c>
      <c r="G28" s="28" t="e">
        <f t="shared" si="3"/>
        <v>#REF!</v>
      </c>
      <c r="H28" s="28"/>
      <c r="I28" s="43"/>
      <c r="J28" s="43"/>
      <c r="K28" s="43"/>
      <c r="L28" s="43"/>
      <c r="M28" s="58"/>
    </row>
    <row r="29" s="2" customFormat="1" ht="15" customHeight="1" spans="1:13">
      <c r="A29" s="26"/>
      <c r="B29" s="34" t="s">
        <v>2271</v>
      </c>
      <c r="C29" s="80" t="s">
        <v>598</v>
      </c>
      <c r="D29" s="113">
        <v>1.3</v>
      </c>
      <c r="E29" s="23" t="e">
        <f>#REF!</f>
        <v>#REF!</v>
      </c>
      <c r="F29" s="109" t="e">
        <f>#REF!</f>
        <v>#REF!</v>
      </c>
      <c r="G29" s="28" t="e">
        <f t="shared" si="3"/>
        <v>#REF!</v>
      </c>
      <c r="H29" s="28"/>
      <c r="I29" s="43"/>
      <c r="J29" s="43"/>
      <c r="K29" s="43"/>
      <c r="L29" s="43"/>
      <c r="M29" s="58"/>
    </row>
    <row r="30" s="2" customFormat="1" ht="15" customHeight="1" spans="1:13">
      <c r="A30" s="26"/>
      <c r="B30" s="34" t="s">
        <v>2272</v>
      </c>
      <c r="C30" s="22" t="s">
        <v>505</v>
      </c>
      <c r="D30" s="113">
        <v>0.05</v>
      </c>
      <c r="E30" s="23" t="e">
        <f>#REF!</f>
        <v>#REF!</v>
      </c>
      <c r="F30" s="109" t="e">
        <f>#REF!</f>
        <v>#REF!</v>
      </c>
      <c r="G30" s="28" t="e">
        <f t="shared" si="3"/>
        <v>#REF!</v>
      </c>
      <c r="H30" s="28"/>
      <c r="I30" s="43"/>
      <c r="J30" s="43"/>
      <c r="K30" s="43"/>
      <c r="L30" s="43"/>
      <c r="M30" s="58"/>
    </row>
    <row r="31" s="2" customFormat="1" ht="15" customHeight="1" spans="1:13">
      <c r="A31" s="26" t="s">
        <v>622</v>
      </c>
      <c r="B31" s="39" t="s">
        <v>2273</v>
      </c>
      <c r="C31" s="22"/>
      <c r="D31" s="22"/>
      <c r="E31" s="23"/>
      <c r="F31" s="111"/>
      <c r="G31" s="28" t="e">
        <f>SUM(G32:G33)</f>
        <v>#REF!</v>
      </c>
      <c r="H31" s="28" t="e">
        <f>IF(G31=0,"",IF(#REF!=0,"",G31*10000/#REF!))</f>
        <v>#REF!</v>
      </c>
      <c r="I31" s="43"/>
      <c r="J31" s="43"/>
      <c r="K31" s="43"/>
      <c r="L31" s="43"/>
      <c r="M31" s="58"/>
    </row>
    <row r="32" s="2" customFormat="1" ht="15" customHeight="1" spans="1:13">
      <c r="A32" s="26"/>
      <c r="B32" s="1829" t="s">
        <v>2274</v>
      </c>
      <c r="C32" s="22" t="s">
        <v>505</v>
      </c>
      <c r="D32" s="22">
        <v>1</v>
      </c>
      <c r="E32" s="23" t="e">
        <f>#REF!</f>
        <v>#REF!</v>
      </c>
      <c r="F32" s="109">
        <v>200</v>
      </c>
      <c r="G32" s="28" t="e">
        <f t="shared" ref="G32:G36" si="4">D32*E32*F32/10000</f>
        <v>#REF!</v>
      </c>
      <c r="H32" s="28" t="e">
        <f>IF(G32=0,"",IF(#REF!=0,"",G32*10000/#REF!))</f>
        <v>#REF!</v>
      </c>
      <c r="I32" s="43"/>
      <c r="J32" s="43"/>
      <c r="K32" s="43"/>
      <c r="L32" s="43"/>
      <c r="M32" s="58"/>
    </row>
    <row r="33" s="2" customFormat="1" ht="15" customHeight="1" spans="1:13">
      <c r="A33" s="26"/>
      <c r="B33" s="1829" t="s">
        <v>2275</v>
      </c>
      <c r="C33" s="22" t="s">
        <v>505</v>
      </c>
      <c r="D33" s="41">
        <v>0.03</v>
      </c>
      <c r="E33" s="23" t="e">
        <f>#REF!</f>
        <v>#REF!</v>
      </c>
      <c r="F33" s="42" t="e">
        <f>SUM(H12,H16,H17,H32,H24)</f>
        <v>#REF!</v>
      </c>
      <c r="G33" s="28" t="e">
        <f t="shared" si="4"/>
        <v>#REF!</v>
      </c>
      <c r="H33" s="28"/>
      <c r="I33" s="43"/>
      <c r="J33" s="43"/>
      <c r="K33" s="43"/>
      <c r="L33" s="43"/>
      <c r="M33" s="61"/>
    </row>
    <row r="34" s="2" customFormat="1" ht="15" customHeight="1" spans="1:13">
      <c r="A34" s="19" t="s">
        <v>622</v>
      </c>
      <c r="B34" s="64" t="s">
        <v>2276</v>
      </c>
      <c r="C34" s="21" t="s">
        <v>505</v>
      </c>
      <c r="D34" s="47">
        <v>0.8</v>
      </c>
      <c r="E34" s="23" t="e">
        <f>#REF!</f>
        <v>#REF!</v>
      </c>
      <c r="F34" s="115">
        <v>100</v>
      </c>
      <c r="G34" s="28" t="e">
        <f>E34*F34*D34/10000</f>
        <v>#REF!</v>
      </c>
      <c r="H34" s="28" t="e">
        <f>IF(G34=0,"",IF(#REF!=0,"",G34*10000/#REF!))</f>
        <v>#REF!</v>
      </c>
      <c r="I34" s="43"/>
      <c r="J34" s="43"/>
      <c r="K34" s="43"/>
      <c r="L34" s="43"/>
      <c r="M34" s="58"/>
    </row>
    <row r="35" s="2" customFormat="1" ht="15" customHeight="1" spans="1:13">
      <c r="A35" s="26" t="s">
        <v>622</v>
      </c>
      <c r="B35" s="27" t="s">
        <v>1275</v>
      </c>
      <c r="C35" s="22"/>
      <c r="D35" s="22"/>
      <c r="E35" s="23"/>
      <c r="F35" s="111"/>
      <c r="G35" s="28" t="e">
        <f>SUM(G36)</f>
        <v>#REF!</v>
      </c>
      <c r="H35" s="28" t="e">
        <f>IF(G35=0,"",IF(#REF!=0,"",G35*10000/#REF!))</f>
        <v>#REF!</v>
      </c>
      <c r="I35" s="43"/>
      <c r="J35" s="43"/>
      <c r="K35" s="43"/>
      <c r="L35" s="43"/>
      <c r="M35" s="58"/>
    </row>
    <row r="36" s="2" customFormat="1" ht="15" customHeight="1" spans="1:13">
      <c r="A36" s="26"/>
      <c r="B36" s="43" t="s">
        <v>2277</v>
      </c>
      <c r="C36" s="22"/>
      <c r="D36" s="22">
        <v>1</v>
      </c>
      <c r="E36" s="23" t="e">
        <f>#REF!</f>
        <v>#REF!</v>
      </c>
      <c r="F36" s="111">
        <v>200</v>
      </c>
      <c r="G36" s="28" t="e">
        <f t="shared" si="4"/>
        <v>#REF!</v>
      </c>
      <c r="H36" s="28"/>
      <c r="I36" s="43"/>
      <c r="J36" s="43"/>
      <c r="K36" s="43"/>
      <c r="L36" s="43"/>
      <c r="M36" s="58" t="s">
        <v>2501</v>
      </c>
    </row>
    <row r="37" s="2" customFormat="1" ht="15" customHeight="1" spans="1:13">
      <c r="A37" s="102" t="s">
        <v>533</v>
      </c>
      <c r="B37" s="103" t="s">
        <v>2278</v>
      </c>
      <c r="C37" s="12"/>
      <c r="D37" s="12"/>
      <c r="E37" s="48"/>
      <c r="F37" s="12"/>
      <c r="G37" s="13" t="e">
        <f>G38+G49+G84</f>
        <v>#REF!</v>
      </c>
      <c r="H37" s="13" t="e">
        <f>IF(G37=0,"",IF(#REF!=0,"",G37*10000/#REF!))</f>
        <v>#REF!</v>
      </c>
      <c r="I37" s="55"/>
      <c r="J37" s="55"/>
      <c r="K37" s="55"/>
      <c r="L37" s="55"/>
      <c r="M37" s="63"/>
    </row>
    <row r="38" s="2" customFormat="1" ht="15" customHeight="1" spans="1:13">
      <c r="A38" s="1825" t="s">
        <v>2247</v>
      </c>
      <c r="B38" s="15" t="s">
        <v>2279</v>
      </c>
      <c r="C38" s="104"/>
      <c r="D38" s="104"/>
      <c r="E38" s="105"/>
      <c r="F38" s="104"/>
      <c r="G38" s="106" t="e">
        <f>G39+G44+G43</f>
        <v>#REF!</v>
      </c>
      <c r="H38" s="106" t="e">
        <f>IF(G38=0,"",IF(#REF!=0,"",G38*10000/#REF!))</f>
        <v>#REF!</v>
      </c>
      <c r="I38" s="130"/>
      <c r="J38" s="130"/>
      <c r="K38" s="130"/>
      <c r="L38" s="130"/>
      <c r="M38" s="131"/>
    </row>
    <row r="39" s="2" customFormat="1" ht="15" customHeight="1" spans="1:13">
      <c r="A39" s="19" t="s">
        <v>622</v>
      </c>
      <c r="B39" s="20" t="s">
        <v>2280</v>
      </c>
      <c r="C39" s="22" t="s">
        <v>505</v>
      </c>
      <c r="D39" s="49"/>
      <c r="E39" s="23"/>
      <c r="F39" s="22"/>
      <c r="G39" s="28" t="e">
        <f>SUM(G40:G42)</f>
        <v>#REF!</v>
      </c>
      <c r="H39" s="28" t="e">
        <f>IF(G39=0,"",IF(#REF!=0,"",G39*10000/#REF!))</f>
        <v>#REF!</v>
      </c>
      <c r="I39" s="43"/>
      <c r="J39" s="43"/>
      <c r="K39" s="43"/>
      <c r="L39" s="43"/>
      <c r="M39" s="58"/>
    </row>
    <row r="40" s="2" customFormat="1" ht="15" customHeight="1" spans="1:13">
      <c r="A40" s="19"/>
      <c r="B40" s="117" t="s">
        <v>2281</v>
      </c>
      <c r="C40" s="21" t="s">
        <v>505</v>
      </c>
      <c r="D40" s="21">
        <v>1</v>
      </c>
      <c r="E40" s="23" t="e">
        <f>#REF!</f>
        <v>#REF!</v>
      </c>
      <c r="F40" s="23">
        <v>50</v>
      </c>
      <c r="G40" s="28" t="e">
        <f t="shared" ref="G40:G43" si="5">D40*E40*F40/10000</f>
        <v>#REF!</v>
      </c>
      <c r="H40" s="28"/>
      <c r="I40" s="43"/>
      <c r="J40" s="43"/>
      <c r="K40" s="43"/>
      <c r="L40" s="43"/>
      <c r="M40" s="58"/>
    </row>
    <row r="41" s="2" customFormat="1" ht="15" customHeight="1" spans="1:13">
      <c r="A41" s="19"/>
      <c r="B41" s="117" t="s">
        <v>2282</v>
      </c>
      <c r="C41" s="21" t="s">
        <v>505</v>
      </c>
      <c r="D41" s="21">
        <v>1</v>
      </c>
      <c r="E41" s="23" t="e">
        <f>#REF!</f>
        <v>#REF!</v>
      </c>
      <c r="F41" s="23">
        <v>5</v>
      </c>
      <c r="G41" s="28" t="e">
        <f t="shared" si="5"/>
        <v>#REF!</v>
      </c>
      <c r="H41" s="28"/>
      <c r="I41" s="43"/>
      <c r="J41" s="43"/>
      <c r="K41" s="43"/>
      <c r="L41" s="43"/>
      <c r="M41" s="58"/>
    </row>
    <row r="42" s="2" customFormat="1" ht="15" customHeight="1" spans="1:13">
      <c r="A42" s="19"/>
      <c r="B42" s="117" t="s">
        <v>2283</v>
      </c>
      <c r="C42" s="21" t="s">
        <v>505</v>
      </c>
      <c r="D42" s="21">
        <v>1</v>
      </c>
      <c r="E42" s="23" t="e">
        <f>#REF!</f>
        <v>#REF!</v>
      </c>
      <c r="F42" s="23">
        <v>5</v>
      </c>
      <c r="G42" s="28" t="e">
        <f t="shared" si="5"/>
        <v>#REF!</v>
      </c>
      <c r="H42" s="28"/>
      <c r="I42" s="43"/>
      <c r="J42" s="43"/>
      <c r="K42" s="43"/>
      <c r="L42" s="43"/>
      <c r="M42" s="58"/>
    </row>
    <row r="43" s="2" customFormat="1" ht="15" customHeight="1" spans="1:13">
      <c r="A43" s="19" t="s">
        <v>622</v>
      </c>
      <c r="B43" s="20" t="s">
        <v>2284</v>
      </c>
      <c r="C43" s="21" t="s">
        <v>505</v>
      </c>
      <c r="D43" s="21">
        <v>1</v>
      </c>
      <c r="E43" s="23" t="e">
        <f>#REF!</f>
        <v>#REF!</v>
      </c>
      <c r="F43" s="23"/>
      <c r="G43" s="28" t="e">
        <f t="shared" si="5"/>
        <v>#REF!</v>
      </c>
      <c r="H43" s="28" t="e">
        <f>IF(G43=0,"",IF(#REF!=0,"",G43*10000/#REF!))</f>
        <v>#REF!</v>
      </c>
      <c r="I43" s="43"/>
      <c r="J43" s="43"/>
      <c r="K43" s="43"/>
      <c r="L43" s="43"/>
      <c r="M43" s="58"/>
    </row>
    <row r="44" s="2" customFormat="1" ht="15" customHeight="1" spans="1:13">
      <c r="A44" s="19" t="s">
        <v>622</v>
      </c>
      <c r="B44" s="20" t="s">
        <v>2285</v>
      </c>
      <c r="C44" s="22" t="s">
        <v>505</v>
      </c>
      <c r="D44" s="49"/>
      <c r="E44" s="23"/>
      <c r="F44" s="23"/>
      <c r="G44" s="28" t="e">
        <f>SUM(G45:G48)</f>
        <v>#REF!</v>
      </c>
      <c r="H44" s="28" t="e">
        <f>IF(G44=0,"",IF(#REF!=0,"",G44*10000/#REF!))</f>
        <v>#REF!</v>
      </c>
      <c r="I44" s="43"/>
      <c r="J44" s="43"/>
      <c r="K44" s="43"/>
      <c r="L44" s="43"/>
      <c r="M44" s="58"/>
    </row>
    <row r="45" s="2" customFormat="1" ht="16.5" customHeight="1" spans="1:13">
      <c r="A45" s="19"/>
      <c r="B45" s="117" t="s">
        <v>2286</v>
      </c>
      <c r="C45" s="21" t="s">
        <v>505</v>
      </c>
      <c r="D45" s="21">
        <v>1</v>
      </c>
      <c r="E45" s="23" t="e">
        <f>#REF!</f>
        <v>#REF!</v>
      </c>
      <c r="F45" s="23">
        <v>50</v>
      </c>
      <c r="G45" s="28" t="e">
        <f t="shared" ref="G45:G48" si="6">D45*E45*F45/10000</f>
        <v>#REF!</v>
      </c>
      <c r="H45" s="28"/>
      <c r="I45" s="43"/>
      <c r="J45" s="43"/>
      <c r="K45" s="43"/>
      <c r="L45" s="43"/>
      <c r="M45" s="58"/>
    </row>
    <row r="46" s="2" customFormat="1" ht="15" customHeight="1" spans="1:13">
      <c r="A46" s="19"/>
      <c r="B46" s="117" t="s">
        <v>2502</v>
      </c>
      <c r="C46" s="21" t="s">
        <v>505</v>
      </c>
      <c r="D46" s="21">
        <v>1</v>
      </c>
      <c r="E46" s="23" t="e">
        <f>#REF!</f>
        <v>#REF!</v>
      </c>
      <c r="F46" s="23">
        <v>10</v>
      </c>
      <c r="G46" s="28" t="e">
        <f t="shared" si="6"/>
        <v>#REF!</v>
      </c>
      <c r="H46" s="28"/>
      <c r="I46" s="43"/>
      <c r="J46" s="43"/>
      <c r="K46" s="43"/>
      <c r="L46" s="43"/>
      <c r="M46" s="58"/>
    </row>
    <row r="47" s="2" customFormat="1" ht="15" customHeight="1" spans="1:13">
      <c r="A47" s="19"/>
      <c r="B47" s="117" t="s">
        <v>2481</v>
      </c>
      <c r="C47" s="21" t="s">
        <v>505</v>
      </c>
      <c r="D47" s="21">
        <v>1</v>
      </c>
      <c r="E47" s="23" t="e">
        <f>#REF!</f>
        <v>#REF!</v>
      </c>
      <c r="F47" s="23">
        <v>100</v>
      </c>
      <c r="G47" s="28" t="e">
        <f t="shared" si="6"/>
        <v>#REF!</v>
      </c>
      <c r="H47" s="28"/>
      <c r="I47" s="43"/>
      <c r="J47" s="43"/>
      <c r="K47" s="43"/>
      <c r="L47" s="43"/>
      <c r="M47" s="74"/>
    </row>
    <row r="48" s="2" customFormat="1" ht="15" customHeight="1" spans="1:13">
      <c r="A48" s="19"/>
      <c r="B48" s="117" t="s">
        <v>2358</v>
      </c>
      <c r="C48" s="21" t="s">
        <v>505</v>
      </c>
      <c r="D48" s="21">
        <v>1</v>
      </c>
      <c r="E48" s="23" t="e">
        <f>#REF!</f>
        <v>#REF!</v>
      </c>
      <c r="F48" s="118">
        <v>10</v>
      </c>
      <c r="G48" s="28" t="e">
        <f t="shared" si="6"/>
        <v>#REF!</v>
      </c>
      <c r="H48" s="28"/>
      <c r="I48" s="43"/>
      <c r="J48" s="43"/>
      <c r="K48" s="43"/>
      <c r="L48" s="43"/>
      <c r="M48" s="58"/>
    </row>
    <row r="49" s="2" customFormat="1" ht="15" customHeight="1" spans="1:13">
      <c r="A49" s="1825" t="s">
        <v>2257</v>
      </c>
      <c r="B49" s="15" t="s">
        <v>2291</v>
      </c>
      <c r="C49" s="104"/>
      <c r="D49" s="104"/>
      <c r="E49" s="105"/>
      <c r="F49" s="119"/>
      <c r="G49" s="106" t="e">
        <f>SUM(G50:G54)</f>
        <v>#REF!</v>
      </c>
      <c r="H49" s="106" t="e">
        <f>IF(G49=0,"",IF(#REF!=0,"",G49*10000/#REF!))</f>
        <v>#REF!</v>
      </c>
      <c r="I49" s="130"/>
      <c r="J49" s="130"/>
      <c r="K49" s="130"/>
      <c r="L49" s="130"/>
      <c r="M49" s="131"/>
    </row>
    <row r="50" s="2" customFormat="1" ht="15" customHeight="1" spans="1:13">
      <c r="A50" s="19" t="s">
        <v>622</v>
      </c>
      <c r="B50" s="20" t="s">
        <v>2292</v>
      </c>
      <c r="C50" s="66"/>
      <c r="D50" s="21">
        <v>1</v>
      </c>
      <c r="E50" s="23" t="e">
        <f>#REF!</f>
        <v>#REF!</v>
      </c>
      <c r="F50" s="111"/>
      <c r="G50" s="28" t="e">
        <f t="shared" ref="G50:G54" si="7">E50*F50/10000</f>
        <v>#REF!</v>
      </c>
      <c r="H50" s="28"/>
      <c r="I50" s="43"/>
      <c r="J50" s="43"/>
      <c r="K50" s="43"/>
      <c r="L50" s="43"/>
      <c r="M50" s="58"/>
    </row>
    <row r="51" s="2" customFormat="1" ht="15" customHeight="1" spans="1:13">
      <c r="A51" s="19" t="s">
        <v>622</v>
      </c>
      <c r="B51" s="64" t="s">
        <v>2293</v>
      </c>
      <c r="C51" s="66" t="s">
        <v>602</v>
      </c>
      <c r="D51" s="21">
        <v>1</v>
      </c>
      <c r="E51" s="23" t="e">
        <f>#REF!</f>
        <v>#REF!</v>
      </c>
      <c r="F51" s="111"/>
      <c r="G51" s="28" t="e">
        <f t="shared" si="7"/>
        <v>#REF!</v>
      </c>
      <c r="H51" s="28"/>
      <c r="I51" s="43"/>
      <c r="J51" s="43"/>
      <c r="K51" s="43"/>
      <c r="L51" s="43"/>
      <c r="M51" s="58"/>
    </row>
    <row r="52" s="2" customFormat="1" ht="15" customHeight="1" spans="1:13">
      <c r="A52" s="19" t="s">
        <v>622</v>
      </c>
      <c r="B52" s="64" t="s">
        <v>2294</v>
      </c>
      <c r="C52" s="22" t="s">
        <v>505</v>
      </c>
      <c r="D52" s="21">
        <v>1</v>
      </c>
      <c r="E52" s="23" t="e">
        <f>#REF!</f>
        <v>#REF!</v>
      </c>
      <c r="F52" s="84"/>
      <c r="G52" s="28" t="e">
        <f>D52*E52*F52/10000</f>
        <v>#REF!</v>
      </c>
      <c r="H52" s="28"/>
      <c r="I52" s="43"/>
      <c r="J52" s="43"/>
      <c r="K52" s="43"/>
      <c r="L52" s="43"/>
      <c r="M52" s="58"/>
    </row>
    <row r="53" s="2" customFormat="1" ht="15" customHeight="1" spans="1:13">
      <c r="A53" s="19" t="s">
        <v>622</v>
      </c>
      <c r="B53" s="20" t="s">
        <v>2295</v>
      </c>
      <c r="C53" s="22" t="s">
        <v>505</v>
      </c>
      <c r="D53" s="21">
        <v>1</v>
      </c>
      <c r="E53" s="23" t="e">
        <f>#REF!</f>
        <v>#REF!</v>
      </c>
      <c r="F53" s="118">
        <v>200</v>
      </c>
      <c r="G53" s="28" t="e">
        <f>D53*E53*F53/10000</f>
        <v>#REF!</v>
      </c>
      <c r="H53" s="28" t="e">
        <f>IF(G53=0,"",IF(#REF!=0,"",G53*10000/#REF!))</f>
        <v>#REF!</v>
      </c>
      <c r="I53" s="43"/>
      <c r="J53" s="43"/>
      <c r="K53" s="43"/>
      <c r="L53" s="43"/>
      <c r="M53" s="58"/>
    </row>
    <row r="54" s="2" customFormat="1" ht="15" customHeight="1" spans="1:13">
      <c r="A54" s="19" t="s">
        <v>622</v>
      </c>
      <c r="B54" s="64" t="s">
        <v>933</v>
      </c>
      <c r="C54" s="66"/>
      <c r="D54" s="21">
        <v>1</v>
      </c>
      <c r="E54" s="23" t="e">
        <f>#REF!</f>
        <v>#REF!</v>
      </c>
      <c r="F54" s="111"/>
      <c r="G54" s="28" t="e">
        <f t="shared" si="7"/>
        <v>#REF!</v>
      </c>
      <c r="H54" s="28"/>
      <c r="I54" s="43"/>
      <c r="J54" s="43"/>
      <c r="K54" s="43"/>
      <c r="L54" s="43"/>
      <c r="M54" s="58"/>
    </row>
    <row r="55" s="2" customFormat="1" ht="15" customHeight="1" spans="1:13">
      <c r="A55" s="102" t="s">
        <v>547</v>
      </c>
      <c r="B55" s="103" t="s">
        <v>2296</v>
      </c>
      <c r="C55" s="12"/>
      <c r="D55" s="12"/>
      <c r="E55" s="48"/>
      <c r="F55" s="12"/>
      <c r="G55" s="13" t="e">
        <f>G56+G62+G73+G77+G81</f>
        <v>#REF!</v>
      </c>
      <c r="H55" s="13" t="e">
        <f>IF(G55=0,"",IF(#REF!=0,"",G55*10000/#REF!))</f>
        <v>#REF!</v>
      </c>
      <c r="I55" s="55"/>
      <c r="J55" s="55"/>
      <c r="K55" s="55"/>
      <c r="L55" s="55"/>
      <c r="M55" s="63"/>
    </row>
    <row r="56" s="2" customFormat="1" ht="15" customHeight="1" spans="1:13">
      <c r="A56" s="120">
        <v>1</v>
      </c>
      <c r="B56" s="121" t="s">
        <v>550</v>
      </c>
      <c r="C56" s="122"/>
      <c r="D56" s="122"/>
      <c r="E56" s="123"/>
      <c r="F56" s="122"/>
      <c r="G56" s="124" t="e">
        <f>G57+G59+G60+G61</f>
        <v>#REF!</v>
      </c>
      <c r="H56" s="124" t="e">
        <f>IF(G56=0,"",IF(#REF!=0,"",G56*10000/#REF!))</f>
        <v>#REF!</v>
      </c>
      <c r="I56" s="133"/>
      <c r="J56" s="133"/>
      <c r="K56" s="133"/>
      <c r="L56" s="133"/>
      <c r="M56" s="134"/>
    </row>
    <row r="57" s="2" customFormat="1" ht="15" customHeight="1" spans="1:13">
      <c r="A57" s="125" t="s">
        <v>619</v>
      </c>
      <c r="B57" s="126" t="s">
        <v>2297</v>
      </c>
      <c r="C57" s="127"/>
      <c r="D57" s="127"/>
      <c r="E57" s="128"/>
      <c r="F57" s="127"/>
      <c r="G57" s="129" t="e">
        <f>SUM(G58)</f>
        <v>#REF!</v>
      </c>
      <c r="H57" s="129" t="e">
        <f>IF(G57=0,"",IF(#REF!=0,"",G57*10000/#REF!))</f>
        <v>#REF!</v>
      </c>
      <c r="I57" s="135"/>
      <c r="J57" s="135"/>
      <c r="K57" s="135"/>
      <c r="L57" s="135"/>
      <c r="M57" s="136"/>
    </row>
    <row r="58" s="2" customFormat="1" ht="15" customHeight="1" spans="1:13">
      <c r="A58" s="19" t="s">
        <v>622</v>
      </c>
      <c r="B58" s="45" t="s">
        <v>2297</v>
      </c>
      <c r="C58" s="21" t="s">
        <v>505</v>
      </c>
      <c r="D58" s="47">
        <v>1</v>
      </c>
      <c r="E58" s="23" t="e">
        <f>#REF!</f>
        <v>#REF!</v>
      </c>
      <c r="F58" s="115">
        <v>1000</v>
      </c>
      <c r="G58" s="28" t="e">
        <f>E58*F58*D58/10000</f>
        <v>#REF!</v>
      </c>
      <c r="H58" s="28" t="e">
        <f>IF(G58=0,"",IF(#REF!=0,"",G58*10000/#REF!))</f>
        <v>#REF!</v>
      </c>
      <c r="I58" s="43"/>
      <c r="J58" s="43"/>
      <c r="K58" s="43"/>
      <c r="L58" s="43"/>
      <c r="M58" s="58"/>
    </row>
    <row r="59" s="2" customFormat="1" ht="15" customHeight="1" spans="1:13">
      <c r="A59" s="125" t="s">
        <v>657</v>
      </c>
      <c r="B59" s="126" t="s">
        <v>2306</v>
      </c>
      <c r="C59" s="127"/>
      <c r="D59" s="127"/>
      <c r="E59" s="128"/>
      <c r="F59" s="127"/>
      <c r="G59" s="129">
        <f>SUM(G77)</f>
        <v>0</v>
      </c>
      <c r="H59" s="129"/>
      <c r="I59" s="135"/>
      <c r="J59" s="135"/>
      <c r="K59" s="135"/>
      <c r="L59" s="135"/>
      <c r="M59" s="136"/>
    </row>
    <row r="60" s="2" customFormat="1" ht="15" customHeight="1" spans="1:13">
      <c r="A60" s="125" t="s">
        <v>762</v>
      </c>
      <c r="B60" s="126" t="s">
        <v>1803</v>
      </c>
      <c r="C60" s="127"/>
      <c r="D60" s="127"/>
      <c r="E60" s="128"/>
      <c r="F60" s="127"/>
      <c r="G60" s="129">
        <f>SUM(G78)</f>
        <v>0</v>
      </c>
      <c r="H60" s="129"/>
      <c r="I60" s="135"/>
      <c r="J60" s="135"/>
      <c r="K60" s="135"/>
      <c r="L60" s="135"/>
      <c r="M60" s="136"/>
    </row>
    <row r="61" s="2" customFormat="1" ht="15" customHeight="1" spans="1:13">
      <c r="A61" s="125" t="s">
        <v>778</v>
      </c>
      <c r="B61" s="126" t="s">
        <v>1275</v>
      </c>
      <c r="C61" s="127"/>
      <c r="D61" s="127"/>
      <c r="E61" s="128"/>
      <c r="F61" s="127"/>
      <c r="G61" s="129"/>
      <c r="H61" s="129"/>
      <c r="I61" s="135"/>
      <c r="J61" s="135"/>
      <c r="K61" s="135"/>
      <c r="L61" s="135"/>
      <c r="M61" s="136"/>
    </row>
    <row r="62" s="2" customFormat="1" ht="15" customHeight="1" spans="1:13">
      <c r="A62" s="120">
        <v>2</v>
      </c>
      <c r="B62" s="15" t="s">
        <v>2308</v>
      </c>
      <c r="C62" s="104"/>
      <c r="D62" s="104"/>
      <c r="E62" s="105"/>
      <c r="F62" s="137"/>
      <c r="G62" s="106">
        <f>SUM(G63:G74)</f>
        <v>0</v>
      </c>
      <c r="H62" s="106" t="str">
        <f>IF(G62=0,"",IF(#REF!=0,"",G62*10000/#REF!))</f>
        <v/>
      </c>
      <c r="I62" s="130"/>
      <c r="J62" s="130"/>
      <c r="K62" s="130"/>
      <c r="L62" s="130"/>
      <c r="M62" s="131"/>
    </row>
    <row r="63" s="2" customFormat="1" ht="15" customHeight="1" spans="1:13">
      <c r="A63" s="125" t="s">
        <v>619</v>
      </c>
      <c r="B63" s="126" t="s">
        <v>2309</v>
      </c>
      <c r="C63" s="138"/>
      <c r="D63" s="143"/>
      <c r="E63" s="139"/>
      <c r="F63" s="82"/>
      <c r="G63" s="141"/>
      <c r="H63" s="141" t="str">
        <f>IF(G63=0,"",IF(#REF!=0,"",G63*10000/#REF!))</f>
        <v/>
      </c>
      <c r="I63" s="158"/>
      <c r="J63" s="158"/>
      <c r="K63" s="158"/>
      <c r="L63" s="158"/>
      <c r="M63" s="159"/>
    </row>
    <row r="64" s="2" customFormat="1" ht="15" customHeight="1" spans="1:13">
      <c r="A64" s="125" t="s">
        <v>657</v>
      </c>
      <c r="B64" s="126" t="s">
        <v>1844</v>
      </c>
      <c r="C64" s="138"/>
      <c r="D64" s="143"/>
      <c r="E64" s="139"/>
      <c r="F64" s="82"/>
      <c r="G64" s="141"/>
      <c r="H64" s="141" t="str">
        <f>IF(G64=0,"",IF(#REF!=0,"",G64*10000/#REF!))</f>
        <v/>
      </c>
      <c r="I64" s="158"/>
      <c r="J64" s="158"/>
      <c r="K64" s="158"/>
      <c r="L64" s="158"/>
      <c r="M64" s="159"/>
    </row>
    <row r="65" s="2" customFormat="1" ht="15" customHeight="1" spans="1:13">
      <c r="A65" s="125" t="s">
        <v>762</v>
      </c>
      <c r="B65" s="126" t="s">
        <v>2310</v>
      </c>
      <c r="C65" s="138"/>
      <c r="D65" s="139"/>
      <c r="E65" s="139"/>
      <c r="F65" s="140"/>
      <c r="G65" s="141"/>
      <c r="H65" s="141" t="str">
        <f>IF(G65=0,"",IF(#REF!=0,"",G65*10000/#REF!))</f>
        <v/>
      </c>
      <c r="I65" s="158"/>
      <c r="J65" s="158"/>
      <c r="K65" s="158"/>
      <c r="L65" s="158"/>
      <c r="M65" s="159"/>
    </row>
    <row r="66" s="2" customFormat="1" ht="15" customHeight="1" spans="1:13">
      <c r="A66" s="125" t="s">
        <v>778</v>
      </c>
      <c r="B66" s="126" t="s">
        <v>1858</v>
      </c>
      <c r="C66" s="142"/>
      <c r="D66" s="143"/>
      <c r="E66" s="139"/>
      <c r="F66" s="140"/>
      <c r="G66" s="141"/>
      <c r="H66" s="141" t="str">
        <f>IF(G66=0,"",IF(#REF!=0,"",G66*10000/#REF!))</f>
        <v/>
      </c>
      <c r="I66" s="158"/>
      <c r="J66" s="158"/>
      <c r="K66" s="158"/>
      <c r="L66" s="158"/>
      <c r="M66" s="159"/>
    </row>
    <row r="67" s="2" customFormat="1" ht="15" customHeight="1" spans="1:13">
      <c r="A67" s="125" t="s">
        <v>781</v>
      </c>
      <c r="B67" s="126" t="s">
        <v>2311</v>
      </c>
      <c r="C67" s="142"/>
      <c r="D67" s="143"/>
      <c r="E67" s="139"/>
      <c r="F67" s="140"/>
      <c r="G67" s="141"/>
      <c r="H67" s="141"/>
      <c r="I67" s="158"/>
      <c r="J67" s="158"/>
      <c r="K67" s="158"/>
      <c r="L67" s="158"/>
      <c r="M67" s="159"/>
    </row>
    <row r="68" s="2" customFormat="1" ht="15" customHeight="1" spans="1:13">
      <c r="A68" s="125" t="s">
        <v>788</v>
      </c>
      <c r="B68" s="126" t="s">
        <v>2312</v>
      </c>
      <c r="C68" s="142"/>
      <c r="D68" s="143"/>
      <c r="E68" s="139"/>
      <c r="F68" s="140"/>
      <c r="G68" s="141"/>
      <c r="H68" s="141"/>
      <c r="I68" s="158"/>
      <c r="J68" s="158"/>
      <c r="K68" s="158"/>
      <c r="L68" s="158"/>
      <c r="M68" s="159"/>
    </row>
    <row r="69" s="2" customFormat="1" ht="15" customHeight="1" spans="1:13">
      <c r="A69" s="125" t="s">
        <v>791</v>
      </c>
      <c r="B69" s="126" t="s">
        <v>1874</v>
      </c>
      <c r="C69" s="142"/>
      <c r="D69" s="143"/>
      <c r="E69" s="139"/>
      <c r="F69" s="140"/>
      <c r="G69" s="141"/>
      <c r="H69" s="141"/>
      <c r="I69" s="158"/>
      <c r="J69" s="158"/>
      <c r="K69" s="158"/>
      <c r="L69" s="158"/>
      <c r="M69" s="159"/>
    </row>
    <row r="70" s="2" customFormat="1" ht="15" customHeight="1" spans="1:13">
      <c r="A70" s="125" t="s">
        <v>794</v>
      </c>
      <c r="B70" s="126" t="s">
        <v>1876</v>
      </c>
      <c r="C70" s="142"/>
      <c r="D70" s="143"/>
      <c r="E70" s="139"/>
      <c r="F70" s="140"/>
      <c r="G70" s="141"/>
      <c r="H70" s="141"/>
      <c r="I70" s="158"/>
      <c r="J70" s="158"/>
      <c r="K70" s="158"/>
      <c r="L70" s="158"/>
      <c r="M70" s="159"/>
    </row>
    <row r="71" s="2" customFormat="1" ht="15" customHeight="1" spans="1:13">
      <c r="A71" s="125" t="s">
        <v>797</v>
      </c>
      <c r="B71" s="126" t="s">
        <v>1878</v>
      </c>
      <c r="C71" s="142"/>
      <c r="D71" s="143"/>
      <c r="E71" s="139"/>
      <c r="F71" s="140"/>
      <c r="G71" s="141"/>
      <c r="H71" s="141"/>
      <c r="I71" s="158"/>
      <c r="J71" s="158"/>
      <c r="K71" s="158"/>
      <c r="L71" s="158"/>
      <c r="M71" s="159"/>
    </row>
    <row r="72" s="2" customFormat="1" ht="16.35" customHeight="1" spans="1:13">
      <c r="A72" s="125" t="s">
        <v>1519</v>
      </c>
      <c r="B72" s="126" t="s">
        <v>2313</v>
      </c>
      <c r="C72" s="142"/>
      <c r="D72" s="143"/>
      <c r="E72" s="139"/>
      <c r="F72" s="140"/>
      <c r="G72" s="141"/>
      <c r="H72" s="141"/>
      <c r="I72" s="158"/>
      <c r="J72" s="158"/>
      <c r="K72" s="158"/>
      <c r="L72" s="158"/>
      <c r="M72" s="159"/>
    </row>
    <row r="73" s="2" customFormat="1" ht="16.35" customHeight="1" spans="1:13">
      <c r="A73" s="120">
        <v>3</v>
      </c>
      <c r="B73" s="121" t="s">
        <v>1705</v>
      </c>
      <c r="C73" s="104"/>
      <c r="D73" s="104"/>
      <c r="E73" s="105"/>
      <c r="F73" s="137"/>
      <c r="G73" s="106">
        <f>SUM(G74:G87)</f>
        <v>0</v>
      </c>
      <c r="H73" s="106" t="str">
        <f>IF(G73=0,"",IF(#REF!=0,"",G73*10000/#REF!))</f>
        <v/>
      </c>
      <c r="I73" s="130"/>
      <c r="J73" s="130"/>
      <c r="K73" s="130"/>
      <c r="L73" s="130"/>
      <c r="M73" s="131"/>
    </row>
    <row r="74" s="2" customFormat="1" ht="16.35" customHeight="1" spans="1:13">
      <c r="A74" s="125" t="s">
        <v>619</v>
      </c>
      <c r="B74" s="126" t="s">
        <v>1705</v>
      </c>
      <c r="C74" s="138"/>
      <c r="D74" s="143"/>
      <c r="E74" s="139"/>
      <c r="F74" s="140"/>
      <c r="G74" s="141"/>
      <c r="H74" s="141" t="str">
        <f>IF(G74=0,"",IF(#REF!=0,"",G74*10000/#REF!))</f>
        <v/>
      </c>
      <c r="I74" s="158"/>
      <c r="J74" s="158"/>
      <c r="K74" s="158"/>
      <c r="L74" s="158"/>
      <c r="M74" s="159"/>
    </row>
    <row r="75" s="2" customFormat="1" ht="16.35" customHeight="1" spans="1:13">
      <c r="A75" s="125" t="s">
        <v>657</v>
      </c>
      <c r="B75" s="126" t="s">
        <v>2314</v>
      </c>
      <c r="C75" s="138"/>
      <c r="D75" s="143"/>
      <c r="E75" s="139"/>
      <c r="F75" s="140"/>
      <c r="G75" s="141"/>
      <c r="H75" s="141"/>
      <c r="I75" s="158"/>
      <c r="J75" s="158"/>
      <c r="K75" s="158"/>
      <c r="L75" s="158"/>
      <c r="M75" s="159"/>
    </row>
    <row r="76" s="2" customFormat="1" ht="16.35" customHeight="1" spans="1:13">
      <c r="A76" s="125" t="s">
        <v>762</v>
      </c>
      <c r="B76" s="126" t="s">
        <v>2315</v>
      </c>
      <c r="C76" s="138"/>
      <c r="D76" s="143"/>
      <c r="E76" s="139"/>
      <c r="F76" s="140"/>
      <c r="G76" s="141"/>
      <c r="H76" s="141"/>
      <c r="I76" s="158"/>
      <c r="J76" s="158"/>
      <c r="K76" s="158"/>
      <c r="L76" s="158"/>
      <c r="M76" s="159"/>
    </row>
    <row r="77" s="2" customFormat="1" ht="16.35" customHeight="1" spans="1:13">
      <c r="A77" s="120">
        <v>4</v>
      </c>
      <c r="B77" s="121" t="s">
        <v>554</v>
      </c>
      <c r="C77" s="104"/>
      <c r="D77" s="104"/>
      <c r="E77" s="105"/>
      <c r="F77" s="104"/>
      <c r="G77" s="106">
        <f>SUM(G78:G82)</f>
        <v>0</v>
      </c>
      <c r="H77" s="106" t="str">
        <f>IF(G77=0,"",IF(#REF!=0,"",G77*10000/#REF!))</f>
        <v/>
      </c>
      <c r="I77" s="130"/>
      <c r="J77" s="130"/>
      <c r="K77" s="130"/>
      <c r="L77" s="130"/>
      <c r="M77" s="131"/>
    </row>
    <row r="78" s="2" customFormat="1" ht="16.35" customHeight="1" spans="1:13">
      <c r="A78" s="125" t="s">
        <v>619</v>
      </c>
      <c r="B78" s="126" t="s">
        <v>2316</v>
      </c>
      <c r="C78" s="142"/>
      <c r="D78" s="142"/>
      <c r="E78" s="139"/>
      <c r="F78" s="142"/>
      <c r="G78" s="141"/>
      <c r="H78" s="141"/>
      <c r="I78" s="158"/>
      <c r="J78" s="158"/>
      <c r="K78" s="158"/>
      <c r="L78" s="158"/>
      <c r="M78" s="159"/>
    </row>
    <row r="79" s="2" customFormat="1" ht="16.35" customHeight="1" spans="1:13">
      <c r="A79" s="125" t="s">
        <v>657</v>
      </c>
      <c r="B79" s="126" t="s">
        <v>2317</v>
      </c>
      <c r="C79" s="142"/>
      <c r="D79" s="142"/>
      <c r="E79" s="139"/>
      <c r="F79" s="144"/>
      <c r="G79" s="141"/>
      <c r="H79" s="141"/>
      <c r="I79" s="141"/>
      <c r="J79" s="141"/>
      <c r="K79" s="141"/>
      <c r="L79" s="141"/>
      <c r="M79" s="160"/>
    </row>
    <row r="80" s="2" customFormat="1" ht="16.35" customHeight="1" spans="1:13">
      <c r="A80" s="125" t="s">
        <v>762</v>
      </c>
      <c r="B80" s="126" t="s">
        <v>2318</v>
      </c>
      <c r="C80" s="142"/>
      <c r="D80" s="142"/>
      <c r="E80" s="139"/>
      <c r="F80" s="144"/>
      <c r="G80" s="141"/>
      <c r="H80" s="141"/>
      <c r="I80" s="141"/>
      <c r="J80" s="141"/>
      <c r="K80" s="141"/>
      <c r="L80" s="141"/>
      <c r="M80" s="161"/>
    </row>
    <row r="81" s="2" customFormat="1" ht="16.35" customHeight="1" spans="1:13">
      <c r="A81" s="120">
        <v>5</v>
      </c>
      <c r="B81" s="121" t="s">
        <v>556</v>
      </c>
      <c r="C81" s="145" t="s">
        <v>505</v>
      </c>
      <c r="D81" s="145"/>
      <c r="E81" s="146"/>
      <c r="F81" s="147"/>
      <c r="G81" s="106">
        <f>D81*E81*F81/10000</f>
        <v>0</v>
      </c>
      <c r="H81" s="106" t="str">
        <f>IF(G81=0,"",IF(#REF!=0,"",G81*10000/#REF!))</f>
        <v/>
      </c>
      <c r="I81" s="162"/>
      <c r="J81" s="162"/>
      <c r="K81" s="162"/>
      <c r="L81" s="162"/>
      <c r="M81" s="163"/>
    </row>
    <row r="82" s="2" customFormat="1" ht="16.35" customHeight="1" spans="1:13">
      <c r="A82" s="125" t="s">
        <v>619</v>
      </c>
      <c r="B82" s="126" t="s">
        <v>2319</v>
      </c>
      <c r="C82" s="142"/>
      <c r="D82" s="142"/>
      <c r="E82" s="139"/>
      <c r="F82" s="144"/>
      <c r="G82" s="141"/>
      <c r="H82" s="141"/>
      <c r="I82" s="141"/>
      <c r="J82" s="141"/>
      <c r="K82" s="141"/>
      <c r="L82" s="141"/>
      <c r="M82" s="161"/>
    </row>
    <row r="83" s="2" customFormat="1" ht="16.35" customHeight="1" spans="1:13">
      <c r="A83" s="125" t="s">
        <v>657</v>
      </c>
      <c r="B83" s="126" t="s">
        <v>1904</v>
      </c>
      <c r="C83" s="142"/>
      <c r="D83" s="142"/>
      <c r="E83" s="139"/>
      <c r="F83" s="144"/>
      <c r="G83" s="141"/>
      <c r="H83" s="141"/>
      <c r="I83" s="141"/>
      <c r="J83" s="141"/>
      <c r="K83" s="141"/>
      <c r="L83" s="141"/>
      <c r="M83" s="161"/>
    </row>
    <row r="84" s="2" customFormat="1" ht="16.35" customHeight="1" spans="1:13">
      <c r="A84" s="125" t="s">
        <v>762</v>
      </c>
      <c r="B84" s="126" t="s">
        <v>1906</v>
      </c>
      <c r="C84" s="142"/>
      <c r="D84" s="142"/>
      <c r="E84" s="139"/>
      <c r="F84" s="144"/>
      <c r="G84" s="141"/>
      <c r="H84" s="141"/>
      <c r="I84" s="141"/>
      <c r="J84" s="141"/>
      <c r="K84" s="141"/>
      <c r="L84" s="141"/>
      <c r="M84" s="161"/>
    </row>
    <row r="85" s="2" customFormat="1" ht="16.35" customHeight="1" spans="1:13">
      <c r="A85" s="125" t="s">
        <v>778</v>
      </c>
      <c r="B85" s="126" t="s">
        <v>1908</v>
      </c>
      <c r="C85" s="142"/>
      <c r="D85" s="142"/>
      <c r="E85" s="139"/>
      <c r="F85" s="144"/>
      <c r="G85" s="141"/>
      <c r="H85" s="141"/>
      <c r="I85" s="141"/>
      <c r="J85" s="141"/>
      <c r="K85" s="141"/>
      <c r="L85" s="141"/>
      <c r="M85" s="161"/>
    </row>
    <row r="86" s="2" customFormat="1" ht="16.35" customHeight="1" spans="1:13">
      <c r="A86" s="125" t="s">
        <v>781</v>
      </c>
      <c r="B86" s="126" t="s">
        <v>1910</v>
      </c>
      <c r="C86" s="142"/>
      <c r="D86" s="142"/>
      <c r="E86" s="139"/>
      <c r="F86" s="144"/>
      <c r="G86" s="141"/>
      <c r="H86" s="141"/>
      <c r="I86" s="141"/>
      <c r="J86" s="141"/>
      <c r="K86" s="141"/>
      <c r="L86" s="141"/>
      <c r="M86" s="161"/>
    </row>
    <row r="87" s="2" customFormat="1" ht="16.35" customHeight="1" spans="1:13">
      <c r="A87" s="125" t="s">
        <v>788</v>
      </c>
      <c r="B87" s="126" t="s">
        <v>1914</v>
      </c>
      <c r="C87" s="142"/>
      <c r="D87" s="142"/>
      <c r="E87" s="139"/>
      <c r="F87" s="144"/>
      <c r="G87" s="141"/>
      <c r="H87" s="141"/>
      <c r="I87" s="141"/>
      <c r="J87" s="141"/>
      <c r="K87" s="141"/>
      <c r="L87" s="141"/>
      <c r="M87" s="161"/>
    </row>
    <row r="88" s="2" customFormat="1" ht="16.35" customHeight="1" spans="1:13">
      <c r="A88" s="125" t="s">
        <v>791</v>
      </c>
      <c r="B88" s="126" t="s">
        <v>1781</v>
      </c>
      <c r="C88" s="142"/>
      <c r="D88" s="142"/>
      <c r="E88" s="139"/>
      <c r="F88" s="144"/>
      <c r="G88" s="141"/>
      <c r="H88" s="141"/>
      <c r="I88" s="141"/>
      <c r="J88" s="141"/>
      <c r="K88" s="141"/>
      <c r="L88" s="141"/>
      <c r="M88" s="161"/>
    </row>
    <row r="89" s="2" customFormat="1" ht="16.35" customHeight="1" spans="1:13">
      <c r="A89" s="125" t="s">
        <v>794</v>
      </c>
      <c r="B89" s="126" t="s">
        <v>1916</v>
      </c>
      <c r="C89" s="142"/>
      <c r="D89" s="142"/>
      <c r="E89" s="139"/>
      <c r="F89" s="144"/>
      <c r="G89" s="141"/>
      <c r="H89" s="141"/>
      <c r="I89" s="141"/>
      <c r="J89" s="141"/>
      <c r="K89" s="141"/>
      <c r="L89" s="141"/>
      <c r="M89" s="161"/>
    </row>
    <row r="90" s="2" customFormat="1" ht="16.35" customHeight="1" spans="1:13">
      <c r="A90" s="125" t="s">
        <v>797</v>
      </c>
      <c r="B90" s="126" t="s">
        <v>1700</v>
      </c>
      <c r="C90" s="142"/>
      <c r="D90" s="142"/>
      <c r="E90" s="139"/>
      <c r="F90" s="144"/>
      <c r="G90" s="141"/>
      <c r="H90" s="141"/>
      <c r="I90" s="141"/>
      <c r="J90" s="141"/>
      <c r="K90" s="141"/>
      <c r="L90" s="141"/>
      <c r="M90" s="161"/>
    </row>
    <row r="91" s="2" customFormat="1" ht="16.35" customHeight="1" spans="1:13">
      <c r="A91" s="125" t="s">
        <v>1519</v>
      </c>
      <c r="B91" s="126" t="s">
        <v>1919</v>
      </c>
      <c r="C91" s="142"/>
      <c r="D91" s="142"/>
      <c r="E91" s="139"/>
      <c r="F91" s="144"/>
      <c r="G91" s="141"/>
      <c r="H91" s="141"/>
      <c r="I91" s="141"/>
      <c r="J91" s="141"/>
      <c r="K91" s="141"/>
      <c r="L91" s="141"/>
      <c r="M91" s="161"/>
    </row>
    <row r="92" s="2" customFormat="1" ht="16.35" customHeight="1" spans="1:13">
      <c r="A92" s="125" t="s">
        <v>1520</v>
      </c>
      <c r="B92" s="126" t="s">
        <v>1921</v>
      </c>
      <c r="C92" s="142"/>
      <c r="D92" s="142"/>
      <c r="E92" s="139"/>
      <c r="F92" s="144"/>
      <c r="G92" s="141"/>
      <c r="H92" s="141"/>
      <c r="I92" s="141"/>
      <c r="J92" s="141"/>
      <c r="K92" s="141"/>
      <c r="L92" s="141"/>
      <c r="M92" s="161"/>
    </row>
    <row r="93" s="2" customFormat="1" ht="16.35" customHeight="1" spans="1:13">
      <c r="A93" s="125" t="s">
        <v>1727</v>
      </c>
      <c r="B93" s="126" t="s">
        <v>546</v>
      </c>
      <c r="C93" s="142"/>
      <c r="D93" s="142"/>
      <c r="E93" s="139"/>
      <c r="F93" s="144"/>
      <c r="G93" s="141"/>
      <c r="H93" s="141"/>
      <c r="I93" s="141"/>
      <c r="J93" s="141"/>
      <c r="K93" s="141"/>
      <c r="L93" s="141"/>
      <c r="M93" s="161"/>
    </row>
    <row r="94" ht="16.35" customHeight="1" spans="1:13">
      <c r="A94" s="102" t="s">
        <v>557</v>
      </c>
      <c r="B94" s="103" t="s">
        <v>485</v>
      </c>
      <c r="C94" s="148"/>
      <c r="D94" s="149"/>
      <c r="E94" s="149"/>
      <c r="F94" s="149"/>
      <c r="G94" s="149"/>
      <c r="H94" s="149" t="str">
        <f>IF(G94=0,"",IF(#REF!=0,"",G94*10000/#REF!))</f>
        <v/>
      </c>
      <c r="I94" s="149"/>
      <c r="J94" s="149"/>
      <c r="K94" s="149"/>
      <c r="L94" s="149"/>
      <c r="M94" s="164"/>
    </row>
    <row r="95" ht="16.35" customHeight="1" spans="1:13">
      <c r="A95" s="151">
        <v>1</v>
      </c>
      <c r="B95" s="152" t="s">
        <v>2320</v>
      </c>
      <c r="C95" s="153"/>
      <c r="D95" s="157"/>
      <c r="E95" s="157"/>
      <c r="F95" s="157"/>
      <c r="G95" s="157"/>
      <c r="H95" s="157" t="str">
        <f>IF(G95=0,"",IF(#REF!=0,"",G95*10000/#REF!))</f>
        <v/>
      </c>
      <c r="I95" s="157"/>
      <c r="J95" s="157"/>
      <c r="K95" s="157"/>
      <c r="L95" s="157"/>
      <c r="M95" s="165"/>
    </row>
    <row r="96" ht="16.35" customHeight="1" spans="1:13">
      <c r="A96" s="151">
        <v>2</v>
      </c>
      <c r="B96" s="152" t="s">
        <v>2321</v>
      </c>
      <c r="C96" s="153"/>
      <c r="D96" s="157"/>
      <c r="E96" s="157"/>
      <c r="F96" s="157"/>
      <c r="G96" s="157"/>
      <c r="H96" s="157" t="str">
        <f>IF(G96=0,"",IF(#REF!=0,"",G96*10000/#REF!))</f>
        <v/>
      </c>
      <c r="I96" s="157"/>
      <c r="J96" s="157"/>
      <c r="K96" s="157"/>
      <c r="L96" s="157"/>
      <c r="M96" s="165"/>
    </row>
  </sheetData>
  <mergeCells count="1">
    <mergeCell ref="C1:E1"/>
  </mergeCells>
  <pageMargins left="0.75" right="0.75" top="1" bottom="1" header="0.5" footer="0.5"/>
  <pageSetup paperSize="9" orientation="portrait"/>
  <headerFooter alignWithMargins="0"/>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D173"/>
  <sheetViews>
    <sheetView showZeros="0" workbookViewId="0">
      <pane xSplit="4" ySplit="8" topLeftCell="E9" activePane="bottomRight" state="frozenSplit"/>
      <selection/>
      <selection pane="topRight"/>
      <selection pane="bottomLeft"/>
      <selection pane="bottomRight" activeCell="H24" sqref="H24"/>
    </sheetView>
  </sheetViews>
  <sheetFormatPr defaultColWidth="9" defaultRowHeight="11.25"/>
  <cols>
    <col min="1" max="1" width="0.6" style="168" customWidth="1"/>
    <col min="2" max="2" width="8.4" style="168" customWidth="1"/>
    <col min="3" max="3" width="21.9" style="168" customWidth="1"/>
    <col min="4" max="4" width="17.1" style="166" customWidth="1"/>
    <col min="5" max="5" width="7.5" style="166" customWidth="1"/>
    <col min="6" max="6" width="9.6" style="166" customWidth="1"/>
    <col min="7" max="7" width="7.9" style="166" customWidth="1"/>
    <col min="8" max="8" width="8.1" style="166" customWidth="1"/>
    <col min="9" max="9" width="10.1" style="169" customWidth="1"/>
    <col min="10" max="10" width="9.5" style="169" customWidth="1"/>
    <col min="11" max="11" width="18.5" style="168" customWidth="1"/>
    <col min="12" max="12" width="9.5" style="170" customWidth="1"/>
    <col min="13" max="13" width="5.6" style="171" customWidth="1"/>
    <col min="14" max="14" width="4.1" style="171" customWidth="1"/>
    <col min="15" max="15" width="5" style="171" customWidth="1"/>
    <col min="16" max="16" width="9" style="168" customWidth="1"/>
    <col min="17" max="20" width="9.1" style="168" customWidth="1"/>
    <col min="21" max="22" width="9" style="168" customWidth="1"/>
    <col min="23" max="23" width="9.1" style="168" customWidth="1"/>
    <col min="24" max="24" width="10.6" style="168" customWidth="1"/>
    <col min="25" max="25" width="9.1" style="168" customWidth="1"/>
    <col min="26" max="16384" width="9" style="168"/>
  </cols>
  <sheetData>
    <row r="1" ht="14.25" spans="3:30">
      <c r="C1" s="172" t="e">
        <f>#REF!</f>
        <v>#REF!</v>
      </c>
      <c r="D1" s="173" t="s">
        <v>1524</v>
      </c>
      <c r="E1" s="173"/>
      <c r="F1" s="174"/>
      <c r="G1" s="175"/>
      <c r="P1" s="216" t="s">
        <v>2369</v>
      </c>
      <c r="Q1" s="253"/>
      <c r="R1" s="253"/>
      <c r="S1" s="253"/>
      <c r="T1" s="253"/>
      <c r="U1" s="253" t="s">
        <v>2370</v>
      </c>
      <c r="V1" s="253"/>
      <c r="W1" s="253"/>
      <c r="X1" s="253"/>
      <c r="Y1" s="253"/>
      <c r="Z1" s="253" t="s">
        <v>2371</v>
      </c>
      <c r="AA1" s="253"/>
      <c r="AB1" s="253"/>
      <c r="AC1" s="253"/>
      <c r="AD1" s="272"/>
    </row>
    <row r="2" ht="16.35" customHeight="1" spans="2:30">
      <c r="B2" s="176" t="s">
        <v>2372</v>
      </c>
      <c r="C2" s="177" t="s">
        <v>46</v>
      </c>
      <c r="D2" s="178" t="s">
        <v>2171</v>
      </c>
      <c r="E2" s="179"/>
      <c r="F2" s="179"/>
      <c r="G2" s="180" t="s">
        <v>2373</v>
      </c>
      <c r="H2" s="180"/>
      <c r="I2" s="217" t="s">
        <v>2374</v>
      </c>
      <c r="J2" s="169" t="e">
        <f>G12+'超高层(46)'!G12+可售底商!F6+办公楼!F6</f>
        <v>#REF!</v>
      </c>
      <c r="K2" s="176" t="s">
        <v>1453</v>
      </c>
      <c r="L2" s="218" t="s">
        <v>486</v>
      </c>
      <c r="P2" s="219" t="s">
        <v>2375</v>
      </c>
      <c r="Q2" s="254" t="s">
        <v>2376</v>
      </c>
      <c r="R2" s="254" t="s">
        <v>2377</v>
      </c>
      <c r="S2" s="254" t="s">
        <v>2374</v>
      </c>
      <c r="T2" s="254" t="s">
        <v>2378</v>
      </c>
      <c r="U2" s="254" t="s">
        <v>2375</v>
      </c>
      <c r="V2" s="254" t="s">
        <v>2376</v>
      </c>
      <c r="W2" s="254" t="s">
        <v>2377</v>
      </c>
      <c r="X2" s="254" t="s">
        <v>2374</v>
      </c>
      <c r="Y2" s="254" t="s">
        <v>2378</v>
      </c>
      <c r="Z2" s="254" t="s">
        <v>2375</v>
      </c>
      <c r="AA2" s="254" t="s">
        <v>2376</v>
      </c>
      <c r="AB2" s="254" t="s">
        <v>2377</v>
      </c>
      <c r="AC2" s="254" t="s">
        <v>2374</v>
      </c>
      <c r="AD2" s="273" t="s">
        <v>2378</v>
      </c>
    </row>
    <row r="3" ht="22.5" spans="2:30">
      <c r="B3" s="181" t="s">
        <v>2379</v>
      </c>
      <c r="C3" s="182" t="s">
        <v>862</v>
      </c>
      <c r="D3" s="183" t="e">
        <f>#REF!</f>
        <v>#REF!</v>
      </c>
      <c r="E3" s="182" t="s">
        <v>600</v>
      </c>
      <c r="F3" s="184" t="e">
        <f>#REF!</f>
        <v>#REF!</v>
      </c>
      <c r="G3" s="185" t="s">
        <v>2380</v>
      </c>
      <c r="H3" s="185"/>
      <c r="I3" s="220">
        <v>3</v>
      </c>
      <c r="K3" s="221" t="s">
        <v>1524</v>
      </c>
      <c r="L3" s="222" t="e">
        <f>SUM(L4:L5)</f>
        <v>#REF!</v>
      </c>
      <c r="O3" s="166" t="s">
        <v>2381</v>
      </c>
      <c r="P3" s="223">
        <v>3.3</v>
      </c>
      <c r="Q3" s="255">
        <v>3.15</v>
      </c>
      <c r="R3" s="255">
        <v>3</v>
      </c>
      <c r="S3" s="255">
        <v>2.8</v>
      </c>
      <c r="T3" s="255">
        <v>2.8</v>
      </c>
      <c r="U3" s="236"/>
      <c r="V3" s="236"/>
      <c r="W3" s="236"/>
      <c r="X3" s="236"/>
      <c r="Y3" s="236"/>
      <c r="Z3" s="236"/>
      <c r="AA3" s="236"/>
      <c r="AB3" s="236"/>
      <c r="AC3" s="236"/>
      <c r="AD3" s="98"/>
    </row>
    <row r="4" ht="22.5" spans="2:30">
      <c r="B4" s="181"/>
      <c r="C4" s="182" t="s">
        <v>505</v>
      </c>
      <c r="D4" s="183" t="e">
        <f>#REF!</f>
        <v>#REF!</v>
      </c>
      <c r="E4" s="182" t="s">
        <v>602</v>
      </c>
      <c r="F4" s="184" t="e">
        <f>#REF!</f>
        <v>#REF!</v>
      </c>
      <c r="G4" s="185" t="s">
        <v>2382</v>
      </c>
      <c r="H4" s="185"/>
      <c r="I4" s="220"/>
      <c r="K4" s="224" t="s">
        <v>2323</v>
      </c>
      <c r="L4" s="222" t="e">
        <f>J9</f>
        <v>#REF!</v>
      </c>
      <c r="O4" s="166" t="s">
        <v>2383</v>
      </c>
      <c r="P4" s="223"/>
      <c r="Q4" s="95"/>
      <c r="R4" s="95"/>
      <c r="S4" s="95">
        <v>4.2</v>
      </c>
      <c r="T4" s="256">
        <v>0</v>
      </c>
      <c r="U4" s="236"/>
      <c r="V4" s="236"/>
      <c r="W4" s="236"/>
      <c r="X4" s="236"/>
      <c r="Y4" s="236"/>
      <c r="Z4" s="236"/>
      <c r="AA4" s="236"/>
      <c r="AB4" s="236"/>
      <c r="AC4" s="236"/>
      <c r="AD4" s="98"/>
    </row>
    <row r="5" ht="34.5" spans="2:30">
      <c r="B5" s="181"/>
      <c r="C5" s="182" t="s">
        <v>2384</v>
      </c>
      <c r="D5" s="183" t="e">
        <f>#REF!</f>
        <v>#REF!</v>
      </c>
      <c r="E5" s="182" t="s">
        <v>2385</v>
      </c>
      <c r="F5" s="184" t="e">
        <f>F4*(D6+3)</f>
        <v>#REF!</v>
      </c>
      <c r="G5" s="185" t="s">
        <v>2386</v>
      </c>
      <c r="H5" s="185"/>
      <c r="I5" s="220" t="e">
        <f>#REF!</f>
        <v>#REF!</v>
      </c>
      <c r="K5" s="224" t="s">
        <v>2349</v>
      </c>
      <c r="L5" s="222">
        <f>J167</f>
        <v>0</v>
      </c>
      <c r="O5" s="166" t="s">
        <v>2387</v>
      </c>
      <c r="P5" s="225" t="s">
        <v>2388</v>
      </c>
      <c r="Q5" s="257" t="s">
        <v>2388</v>
      </c>
      <c r="R5" s="257" t="s">
        <v>2389</v>
      </c>
      <c r="S5" s="257" t="s">
        <v>2389</v>
      </c>
      <c r="T5" s="257" t="s">
        <v>2389</v>
      </c>
      <c r="U5" s="258"/>
      <c r="V5" s="258"/>
      <c r="W5" s="258"/>
      <c r="X5" s="258"/>
      <c r="Y5" s="258"/>
      <c r="Z5" s="258"/>
      <c r="AA5" s="258"/>
      <c r="AB5" s="258"/>
      <c r="AC5" s="258"/>
      <c r="AD5" s="274"/>
    </row>
    <row r="6" ht="15.6" customHeight="1" spans="2:12">
      <c r="B6" s="186"/>
      <c r="C6" s="187" t="s">
        <v>2390</v>
      </c>
      <c r="D6" s="188" t="e">
        <f>#REF!</f>
        <v>#REF!</v>
      </c>
      <c r="E6" s="187" t="s">
        <v>2381</v>
      </c>
      <c r="F6" s="189">
        <v>3</v>
      </c>
      <c r="G6" s="190" t="s">
        <v>2391</v>
      </c>
      <c r="H6" s="190"/>
      <c r="I6" s="226">
        <f>HLOOKUP(I2,$P$2:$T$4,3,FALSE)</f>
        <v>4.2</v>
      </c>
      <c r="K6" s="227" t="s">
        <v>2392</v>
      </c>
      <c r="L6" s="228">
        <f>J162</f>
        <v>0</v>
      </c>
    </row>
    <row r="7" ht="14.25" spans="3:30">
      <c r="C7" s="172"/>
      <c r="D7" s="173"/>
      <c r="E7" s="173"/>
      <c r="F7" s="174"/>
      <c r="G7" s="175"/>
      <c r="P7" s="216" t="s">
        <v>2369</v>
      </c>
      <c r="Q7" s="253"/>
      <c r="R7" s="253"/>
      <c r="S7" s="253"/>
      <c r="T7" s="259"/>
      <c r="U7" s="260" t="s">
        <v>2370</v>
      </c>
      <c r="V7" s="253"/>
      <c r="W7" s="253"/>
      <c r="X7" s="253"/>
      <c r="Y7" s="275"/>
      <c r="Z7" s="276" t="s">
        <v>2371</v>
      </c>
      <c r="AA7" s="253"/>
      <c r="AB7" s="253"/>
      <c r="AC7" s="253"/>
      <c r="AD7" s="272"/>
    </row>
    <row r="8" s="166" customFormat="1" ht="22.5" spans="2:30">
      <c r="B8" s="191" t="s">
        <v>21</v>
      </c>
      <c r="C8" s="101" t="s">
        <v>494</v>
      </c>
      <c r="D8" s="100" t="s">
        <v>606</v>
      </c>
      <c r="E8" s="100" t="s">
        <v>607</v>
      </c>
      <c r="F8" s="100" t="s">
        <v>608</v>
      </c>
      <c r="G8" s="100" t="s">
        <v>609</v>
      </c>
      <c r="H8" s="101" t="s">
        <v>2240</v>
      </c>
      <c r="I8" s="52" t="s">
        <v>2241</v>
      </c>
      <c r="J8" s="52" t="s">
        <v>2393</v>
      </c>
      <c r="K8" s="101" t="s">
        <v>1300</v>
      </c>
      <c r="L8" s="229" t="s">
        <v>2394</v>
      </c>
      <c r="M8" s="171">
        <v>1</v>
      </c>
      <c r="N8" s="171"/>
      <c r="O8" s="171"/>
      <c r="P8" s="219" t="s">
        <v>2375</v>
      </c>
      <c r="Q8" s="254" t="s">
        <v>2376</v>
      </c>
      <c r="R8" s="254" t="s">
        <v>2377</v>
      </c>
      <c r="S8" s="254" t="s">
        <v>2374</v>
      </c>
      <c r="T8" s="261" t="s">
        <v>2378</v>
      </c>
      <c r="U8" s="262" t="s">
        <v>2375</v>
      </c>
      <c r="V8" s="254" t="s">
        <v>2376</v>
      </c>
      <c r="W8" s="254" t="s">
        <v>2377</v>
      </c>
      <c r="X8" s="254" t="s">
        <v>2374</v>
      </c>
      <c r="Y8" s="277" t="s">
        <v>2378</v>
      </c>
      <c r="Z8" s="278" t="s">
        <v>2375</v>
      </c>
      <c r="AA8" s="254" t="s">
        <v>2376</v>
      </c>
      <c r="AB8" s="254" t="s">
        <v>2377</v>
      </c>
      <c r="AC8" s="254" t="s">
        <v>2374</v>
      </c>
      <c r="AD8" s="273" t="s">
        <v>2378</v>
      </c>
    </row>
    <row r="9" ht="15.9" customHeight="1" spans="2:30">
      <c r="B9" s="102" t="s">
        <v>533</v>
      </c>
      <c r="C9" s="103" t="s">
        <v>2246</v>
      </c>
      <c r="D9" s="192"/>
      <c r="E9" s="192"/>
      <c r="F9" s="192"/>
      <c r="G9" s="192"/>
      <c r="H9" s="192"/>
      <c r="I9" s="150" t="e">
        <f>I10+I22</f>
        <v>#REF!</v>
      </c>
      <c r="J9" s="150" t="e">
        <f>IF(I9=0,"",IF(#REF!=0,"",I9*10000/#REF!))</f>
        <v>#REF!</v>
      </c>
      <c r="K9" s="230"/>
      <c r="L9" s="231"/>
      <c r="M9" s="171">
        <v>2</v>
      </c>
      <c r="P9" s="232"/>
      <c r="Q9" s="263"/>
      <c r="R9" s="263"/>
      <c r="S9" s="263"/>
      <c r="T9" s="264"/>
      <c r="U9" s="265"/>
      <c r="V9" s="266"/>
      <c r="W9" s="266"/>
      <c r="X9" s="266"/>
      <c r="Y9" s="279"/>
      <c r="Z9" s="280"/>
      <c r="AA9" s="236"/>
      <c r="AB9" s="236"/>
      <c r="AC9" s="236"/>
      <c r="AD9" s="98"/>
    </row>
    <row r="10" ht="15.9" customHeight="1" spans="2:30">
      <c r="B10" s="1831" t="s">
        <v>2247</v>
      </c>
      <c r="C10" s="121" t="s">
        <v>2248</v>
      </c>
      <c r="D10" s="193"/>
      <c r="E10" s="193"/>
      <c r="F10" s="155"/>
      <c r="G10" s="155"/>
      <c r="H10" s="155"/>
      <c r="I10" s="156" t="e">
        <f>I11+I15+I16+I21</f>
        <v>#REF!</v>
      </c>
      <c r="J10" s="156" t="e">
        <f>IF(I10=0,"",IF(#REF!=0,"",I10*10000/#REF!))</f>
        <v>#REF!</v>
      </c>
      <c r="K10" s="233"/>
      <c r="L10" s="234"/>
      <c r="M10" s="171">
        <v>3</v>
      </c>
      <c r="P10" s="232"/>
      <c r="Q10" s="263"/>
      <c r="R10" s="263"/>
      <c r="S10" s="263"/>
      <c r="T10" s="264"/>
      <c r="U10" s="265"/>
      <c r="V10" s="266"/>
      <c r="W10" s="266"/>
      <c r="X10" s="266"/>
      <c r="Y10" s="279"/>
      <c r="Z10" s="280"/>
      <c r="AA10" s="236"/>
      <c r="AB10" s="236"/>
      <c r="AC10" s="236"/>
      <c r="AD10" s="98"/>
    </row>
    <row r="11" ht="15.9" customHeight="1" outlineLevel="1" spans="2:30">
      <c r="B11" s="194" t="s">
        <v>622</v>
      </c>
      <c r="C11" s="64" t="s">
        <v>2395</v>
      </c>
      <c r="D11" s="65"/>
      <c r="E11" s="65"/>
      <c r="F11" s="108"/>
      <c r="G11" s="108"/>
      <c r="H11" s="108"/>
      <c r="I11" s="235" t="e">
        <f>SUM(I12:I14)</f>
        <v>#REF!</v>
      </c>
      <c r="J11" s="235" t="e">
        <f>IF(I11=0,"",IF(#REF!=0,"",I11*10000/#REF!))</f>
        <v>#REF!</v>
      </c>
      <c r="K11" s="236"/>
      <c r="L11" s="237"/>
      <c r="M11" s="238">
        <v>4</v>
      </c>
      <c r="P11" s="232"/>
      <c r="Q11" s="263"/>
      <c r="R11" s="263"/>
      <c r="S11" s="263"/>
      <c r="T11" s="264"/>
      <c r="U11" s="265"/>
      <c r="V11" s="266"/>
      <c r="W11" s="266"/>
      <c r="X11" s="266"/>
      <c r="Y11" s="279"/>
      <c r="Z11" s="280"/>
      <c r="AA11" s="236"/>
      <c r="AB11" s="236"/>
      <c r="AC11" s="236"/>
      <c r="AD11" s="98"/>
    </row>
    <row r="12" ht="15.9" customHeight="1" outlineLevel="2" spans="2:30">
      <c r="B12" s="195"/>
      <c r="C12" s="107" t="s">
        <v>2250</v>
      </c>
      <c r="D12" s="65"/>
      <c r="E12" s="23">
        <v>9</v>
      </c>
      <c r="F12" s="108" t="s">
        <v>827</v>
      </c>
      <c r="G12" s="108" t="e">
        <f>#REF!</f>
        <v>#REF!</v>
      </c>
      <c r="H12" s="108" t="e">
        <f>办公楼!G6</f>
        <v>#REF!</v>
      </c>
      <c r="I12" s="198" t="e">
        <f t="shared" ref="I12:I15" si="0">E12*G12*H12/10000</f>
        <v>#REF!</v>
      </c>
      <c r="J12" s="198"/>
      <c r="K12" s="239" t="e">
        <f>I12+可售底商!H6+办公楼!H6</f>
        <v>#REF!</v>
      </c>
      <c r="L12" s="237"/>
      <c r="M12" s="238">
        <v>5</v>
      </c>
      <c r="P12" s="232"/>
      <c r="Q12" s="263"/>
      <c r="R12" s="263"/>
      <c r="S12" s="263"/>
      <c r="T12" s="264"/>
      <c r="U12" s="265"/>
      <c r="V12" s="266"/>
      <c r="W12" s="266"/>
      <c r="X12" s="266"/>
      <c r="Y12" s="279"/>
      <c r="Z12" s="280"/>
      <c r="AA12" s="236"/>
      <c r="AB12" s="236"/>
      <c r="AC12" s="236"/>
      <c r="AD12" s="98"/>
    </row>
    <row r="13" ht="15.9" customHeight="1" outlineLevel="2" spans="2:30">
      <c r="B13" s="195"/>
      <c r="C13" s="107" t="s">
        <v>2503</v>
      </c>
      <c r="D13" s="65"/>
      <c r="E13" s="23">
        <f>14-E12</f>
        <v>5</v>
      </c>
      <c r="F13" s="108" t="s">
        <v>827</v>
      </c>
      <c r="G13" s="108" t="e">
        <f>G12</f>
        <v>#REF!</v>
      </c>
      <c r="H13" s="108" t="e">
        <f>办公楼!G7</f>
        <v>#REF!</v>
      </c>
      <c r="I13" s="198" t="e">
        <f t="shared" si="0"/>
        <v>#REF!</v>
      </c>
      <c r="J13" s="198"/>
      <c r="K13" s="239" t="e">
        <f>I13+可售底商!#REF!+办公楼!H7</f>
        <v>#REF!</v>
      </c>
      <c r="L13" s="237"/>
      <c r="M13" s="238">
        <v>6</v>
      </c>
      <c r="P13" s="232"/>
      <c r="Q13" s="263"/>
      <c r="R13" s="263"/>
      <c r="S13" s="263"/>
      <c r="T13" s="264"/>
      <c r="U13" s="265"/>
      <c r="V13" s="266"/>
      <c r="W13" s="266"/>
      <c r="X13" s="266"/>
      <c r="Y13" s="279"/>
      <c r="Z13" s="280"/>
      <c r="AA13" s="236"/>
      <c r="AB13" s="236"/>
      <c r="AC13" s="236"/>
      <c r="AD13" s="98"/>
    </row>
    <row r="14" ht="15.9" customHeight="1" outlineLevel="2" spans="2:30">
      <c r="B14" s="195"/>
      <c r="C14" s="107" t="s">
        <v>2252</v>
      </c>
      <c r="D14" s="65"/>
      <c r="E14" s="23">
        <v>2</v>
      </c>
      <c r="F14" s="108" t="s">
        <v>827</v>
      </c>
      <c r="G14" s="108" t="e">
        <f>G13</f>
        <v>#REF!</v>
      </c>
      <c r="H14" s="108" t="e">
        <f>办公楼!G8</f>
        <v>#REF!</v>
      </c>
      <c r="I14" s="198" t="e">
        <f t="shared" si="0"/>
        <v>#REF!</v>
      </c>
      <c r="J14" s="198"/>
      <c r="K14" s="239" t="e">
        <f>I14+可售底商!H7+办公楼!H8</f>
        <v>#REF!</v>
      </c>
      <c r="L14" s="237"/>
      <c r="M14" s="238">
        <v>7</v>
      </c>
      <c r="P14" s="232"/>
      <c r="Q14" s="263"/>
      <c r="R14" s="263"/>
      <c r="S14" s="263"/>
      <c r="T14" s="264"/>
      <c r="U14" s="265"/>
      <c r="V14" s="266"/>
      <c r="W14" s="266"/>
      <c r="X14" s="266"/>
      <c r="Y14" s="279"/>
      <c r="Z14" s="280"/>
      <c r="AA14" s="236"/>
      <c r="AB14" s="236"/>
      <c r="AC14" s="236"/>
      <c r="AD14" s="98"/>
    </row>
    <row r="15" ht="15.9" customHeight="1" outlineLevel="1" spans="2:30">
      <c r="B15" s="194" t="s">
        <v>622</v>
      </c>
      <c r="C15" s="64" t="s">
        <v>833</v>
      </c>
      <c r="D15" s="65"/>
      <c r="E15" s="23">
        <f>E12+E13</f>
        <v>14</v>
      </c>
      <c r="F15" s="108" t="s">
        <v>655</v>
      </c>
      <c r="G15" s="108" t="e">
        <f>#REF!</f>
        <v>#REF!</v>
      </c>
      <c r="H15" s="108">
        <v>3000</v>
      </c>
      <c r="I15" s="235" t="e">
        <f t="shared" si="0"/>
        <v>#REF!</v>
      </c>
      <c r="J15" s="235" t="e">
        <f>IF(I15=0,"",IF(#REF!=0,"",I15*10000/#REF!))</f>
        <v>#REF!</v>
      </c>
      <c r="K15" s="236"/>
      <c r="L15" s="237"/>
      <c r="M15" s="238">
        <v>8</v>
      </c>
      <c r="P15" s="232"/>
      <c r="Q15" s="263"/>
      <c r="R15" s="263"/>
      <c r="S15" s="263"/>
      <c r="T15" s="264"/>
      <c r="U15" s="265"/>
      <c r="V15" s="266"/>
      <c r="W15" s="266"/>
      <c r="X15" s="266"/>
      <c r="Y15" s="279"/>
      <c r="Z15" s="280"/>
      <c r="AA15" s="236"/>
      <c r="AB15" s="236"/>
      <c r="AC15" s="236"/>
      <c r="AD15" s="98"/>
    </row>
    <row r="16" ht="15.9" customHeight="1" outlineLevel="1" spans="2:30">
      <c r="B16" s="194" t="s">
        <v>622</v>
      </c>
      <c r="C16" s="64" t="s">
        <v>2254</v>
      </c>
      <c r="D16" s="65"/>
      <c r="E16" s="65"/>
      <c r="F16" s="108"/>
      <c r="G16" s="108"/>
      <c r="H16" s="108"/>
      <c r="I16" s="235" t="e">
        <f>I17+I18</f>
        <v>#REF!</v>
      </c>
      <c r="J16" s="235" t="e">
        <f>IF(I16=0,"",IF(#REF!=0,"",I16*10000/#REF!))</f>
        <v>#REF!</v>
      </c>
      <c r="K16" s="240"/>
      <c r="L16" s="222"/>
      <c r="M16" s="238">
        <v>9</v>
      </c>
      <c r="P16" s="232"/>
      <c r="Q16" s="263"/>
      <c r="R16" s="263"/>
      <c r="S16" s="263"/>
      <c r="T16" s="264"/>
      <c r="U16" s="265"/>
      <c r="V16" s="266"/>
      <c r="W16" s="266"/>
      <c r="X16" s="266"/>
      <c r="Y16" s="279"/>
      <c r="Z16" s="280"/>
      <c r="AA16" s="236"/>
      <c r="AB16" s="236"/>
      <c r="AC16" s="236"/>
      <c r="AD16" s="98"/>
    </row>
    <row r="17" ht="15.9" customHeight="1" outlineLevel="2" spans="2:30">
      <c r="B17" s="195"/>
      <c r="C17" s="64" t="s">
        <v>2255</v>
      </c>
      <c r="D17" s="65" t="s">
        <v>665</v>
      </c>
      <c r="E17" s="65">
        <v>1</v>
      </c>
      <c r="F17" s="108" t="s">
        <v>655</v>
      </c>
      <c r="G17" s="108" t="e">
        <f>$D$5</f>
        <v>#REF!</v>
      </c>
      <c r="H17" s="108" t="e">
        <f>#REF!</f>
        <v>#REF!</v>
      </c>
      <c r="I17" s="235" t="e">
        <f t="shared" ref="I17:I21" si="1">E17*G17*H17/10000</f>
        <v>#REF!</v>
      </c>
      <c r="J17" s="235"/>
      <c r="K17" s="236"/>
      <c r="L17" s="237"/>
      <c r="M17" s="238">
        <v>10</v>
      </c>
      <c r="P17" s="232"/>
      <c r="Q17" s="263"/>
      <c r="R17" s="263"/>
      <c r="S17" s="263"/>
      <c r="T17" s="264"/>
      <c r="U17" s="265"/>
      <c r="V17" s="266"/>
      <c r="W17" s="266"/>
      <c r="X17" s="266"/>
      <c r="Y17" s="279"/>
      <c r="Z17" s="280"/>
      <c r="AA17" s="236"/>
      <c r="AB17" s="236"/>
      <c r="AC17" s="236"/>
      <c r="AD17" s="98"/>
    </row>
    <row r="18" ht="15.9" customHeight="1" outlineLevel="2" spans="2:30">
      <c r="B18" s="195"/>
      <c r="C18" s="64" t="s">
        <v>2256</v>
      </c>
      <c r="D18" s="65"/>
      <c r="E18" s="65"/>
      <c r="F18" s="108"/>
      <c r="G18" s="108"/>
      <c r="H18" s="108"/>
      <c r="I18" s="235" t="e">
        <f>SUM(I19:I20)</f>
        <v>#REF!</v>
      </c>
      <c r="J18" s="235"/>
      <c r="K18" s="236"/>
      <c r="L18" s="237"/>
      <c r="M18" s="238">
        <v>11</v>
      </c>
      <c r="P18" s="232"/>
      <c r="Q18" s="263"/>
      <c r="R18" s="263"/>
      <c r="S18" s="263"/>
      <c r="T18" s="264"/>
      <c r="U18" s="265"/>
      <c r="V18" s="266"/>
      <c r="W18" s="266"/>
      <c r="X18" s="266"/>
      <c r="Y18" s="279"/>
      <c r="Z18" s="280"/>
      <c r="AA18" s="236"/>
      <c r="AB18" s="236"/>
      <c r="AC18" s="236"/>
      <c r="AD18" s="98"/>
    </row>
    <row r="19" ht="15.9" customHeight="1" outlineLevel="2" spans="2:30">
      <c r="B19" s="195"/>
      <c r="C19" s="107" t="s">
        <v>2397</v>
      </c>
      <c r="D19" s="65" t="s">
        <v>665</v>
      </c>
      <c r="E19" s="65">
        <v>1</v>
      </c>
      <c r="F19" s="108" t="s">
        <v>655</v>
      </c>
      <c r="G19" s="108" t="e">
        <f>$D$5</f>
        <v>#REF!</v>
      </c>
      <c r="H19" s="108">
        <v>3</v>
      </c>
      <c r="I19" s="235" t="e">
        <f t="shared" si="1"/>
        <v>#REF!</v>
      </c>
      <c r="J19" s="235"/>
      <c r="K19" s="236"/>
      <c r="L19" s="237"/>
      <c r="M19" s="238">
        <v>12</v>
      </c>
      <c r="P19" s="232"/>
      <c r="Q19" s="263"/>
      <c r="R19" s="263"/>
      <c r="S19" s="263"/>
      <c r="T19" s="264"/>
      <c r="U19" s="265"/>
      <c r="V19" s="266"/>
      <c r="W19" s="266"/>
      <c r="X19" s="266"/>
      <c r="Y19" s="279"/>
      <c r="Z19" s="280"/>
      <c r="AA19" s="236"/>
      <c r="AB19" s="236"/>
      <c r="AC19" s="236"/>
      <c r="AD19" s="98"/>
    </row>
    <row r="20" ht="15.9" customHeight="1" outlineLevel="2" spans="2:30">
      <c r="B20" s="195"/>
      <c r="C20" s="107" t="s">
        <v>2398</v>
      </c>
      <c r="D20" s="65" t="s">
        <v>665</v>
      </c>
      <c r="E20" s="65">
        <v>1</v>
      </c>
      <c r="F20" s="108" t="s">
        <v>655</v>
      </c>
      <c r="G20" s="108" t="e">
        <f>$D$5</f>
        <v>#REF!</v>
      </c>
      <c r="H20" s="108">
        <v>2</v>
      </c>
      <c r="I20" s="235" t="e">
        <f t="shared" si="1"/>
        <v>#REF!</v>
      </c>
      <c r="J20" s="235"/>
      <c r="K20" s="236"/>
      <c r="L20" s="237"/>
      <c r="M20" s="238">
        <v>13</v>
      </c>
      <c r="P20" s="232"/>
      <c r="Q20" s="263"/>
      <c r="R20" s="263"/>
      <c r="S20" s="263"/>
      <c r="T20" s="264"/>
      <c r="U20" s="265"/>
      <c r="V20" s="266"/>
      <c r="W20" s="266"/>
      <c r="X20" s="266"/>
      <c r="Y20" s="279"/>
      <c r="Z20" s="280"/>
      <c r="AA20" s="236"/>
      <c r="AB20" s="236"/>
      <c r="AC20" s="236"/>
      <c r="AD20" s="98"/>
    </row>
    <row r="21" s="167" customFormat="1" ht="15.9" customHeight="1" outlineLevel="1" spans="2:30">
      <c r="B21" s="194" t="s">
        <v>622</v>
      </c>
      <c r="C21" s="196" t="s">
        <v>849</v>
      </c>
      <c r="D21" s="65" t="s">
        <v>665</v>
      </c>
      <c r="E21" s="65">
        <v>1</v>
      </c>
      <c r="F21" s="108" t="s">
        <v>655</v>
      </c>
      <c r="G21" s="108" t="e">
        <f>$D$5</f>
        <v>#REF!</v>
      </c>
      <c r="H21" s="108">
        <v>40</v>
      </c>
      <c r="I21" s="235" t="e">
        <f t="shared" si="1"/>
        <v>#REF!</v>
      </c>
      <c r="J21" s="235" t="e">
        <f>IF(I21=0,"",IF(#REF!=0,"",I21*10000/#REF!))</f>
        <v>#REF!</v>
      </c>
      <c r="K21" s="241"/>
      <c r="L21" s="242"/>
      <c r="M21" s="238">
        <v>14</v>
      </c>
      <c r="N21" s="171"/>
      <c r="O21" s="171"/>
      <c r="P21" s="243"/>
      <c r="Q21" s="267"/>
      <c r="R21" s="267"/>
      <c r="S21" s="267"/>
      <c r="T21" s="268"/>
      <c r="U21" s="269"/>
      <c r="V21" s="270"/>
      <c r="W21" s="270"/>
      <c r="X21" s="270"/>
      <c r="Y21" s="281"/>
      <c r="Z21" s="282"/>
      <c r="AA21" s="250"/>
      <c r="AB21" s="250"/>
      <c r="AC21" s="250"/>
      <c r="AD21" s="283"/>
    </row>
    <row r="22" ht="15.9" customHeight="1" spans="2:30">
      <c r="B22" s="1831" t="s">
        <v>2257</v>
      </c>
      <c r="C22" s="121" t="s">
        <v>2258</v>
      </c>
      <c r="D22" s="193"/>
      <c r="E22" s="193"/>
      <c r="F22" s="155"/>
      <c r="G22" s="155"/>
      <c r="H22" s="155"/>
      <c r="I22" s="156" t="e">
        <f>I23+I27+I28+I35+I42+I45+I48</f>
        <v>#REF!</v>
      </c>
      <c r="J22" s="156" t="e">
        <f>IF(I22=0,"",IF(#REF!=0,"",I22*10000/#REF!))</f>
        <v>#REF!</v>
      </c>
      <c r="K22" s="233"/>
      <c r="L22" s="234"/>
      <c r="M22" s="238">
        <v>15</v>
      </c>
      <c r="P22" s="232"/>
      <c r="Q22" s="263"/>
      <c r="R22" s="263"/>
      <c r="S22" s="263"/>
      <c r="T22" s="264"/>
      <c r="U22" s="265"/>
      <c r="V22" s="266"/>
      <c r="W22" s="266"/>
      <c r="X22" s="266"/>
      <c r="Y22" s="279"/>
      <c r="Z22" s="280"/>
      <c r="AA22" s="236"/>
      <c r="AB22" s="236"/>
      <c r="AC22" s="236"/>
      <c r="AD22" s="98"/>
    </row>
    <row r="23" ht="15.9" customHeight="1" outlineLevel="1" spans="2:30">
      <c r="B23" s="194" t="s">
        <v>622</v>
      </c>
      <c r="C23" s="1828" t="s">
        <v>2259</v>
      </c>
      <c r="D23" s="197"/>
      <c r="E23" s="198"/>
      <c r="F23" s="199"/>
      <c r="G23" s="199"/>
      <c r="H23" s="198"/>
      <c r="I23" s="235" t="e">
        <f>SUM(I24:I26)</f>
        <v>#REF!</v>
      </c>
      <c r="J23" s="244" t="e">
        <f>IF(I23=0,"",IF(#REF!=0,"",I23*10000/#REF!))</f>
        <v>#REF!</v>
      </c>
      <c r="K23" s="245"/>
      <c r="L23" s="246"/>
      <c r="M23" s="238">
        <v>16</v>
      </c>
      <c r="P23" s="232"/>
      <c r="Q23" s="263"/>
      <c r="R23" s="263"/>
      <c r="S23" s="263"/>
      <c r="T23" s="264"/>
      <c r="U23" s="265"/>
      <c r="V23" s="266"/>
      <c r="W23" s="266"/>
      <c r="X23" s="266"/>
      <c r="Y23" s="279"/>
      <c r="Z23" s="280"/>
      <c r="AA23" s="236"/>
      <c r="AB23" s="236"/>
      <c r="AC23" s="236"/>
      <c r="AD23" s="98"/>
    </row>
    <row r="24" ht="15.9" customHeight="1" outlineLevel="2" spans="2:30">
      <c r="B24" s="195"/>
      <c r="C24" s="34" t="s">
        <v>2399</v>
      </c>
      <c r="D24" s="65" t="s">
        <v>665</v>
      </c>
      <c r="E24" s="65">
        <f>0.4</f>
        <v>0.4</v>
      </c>
      <c r="F24" s="108" t="s">
        <v>827</v>
      </c>
      <c r="G24" s="108" t="e">
        <f>$D$5</f>
        <v>#REF!</v>
      </c>
      <c r="H24" s="198">
        <v>440</v>
      </c>
      <c r="I24" s="198" t="e">
        <f t="shared" ref="I24:I27" si="2">E24*G24*H24/10000</f>
        <v>#REF!</v>
      </c>
      <c r="J24" s="198"/>
      <c r="K24" s="236"/>
      <c r="L24" s="222" t="str">
        <f>$I$2</f>
        <v>C</v>
      </c>
      <c r="M24" s="238">
        <v>17</v>
      </c>
      <c r="P24" s="247">
        <v>0.43</v>
      </c>
      <c r="Q24" s="247">
        <v>0.42</v>
      </c>
      <c r="R24" s="247">
        <v>0.4</v>
      </c>
      <c r="S24" s="247">
        <v>0.37</v>
      </c>
      <c r="T24" s="247">
        <v>0.35</v>
      </c>
      <c r="U24" s="265"/>
      <c r="V24" s="266"/>
      <c r="W24" s="266"/>
      <c r="X24" s="266"/>
      <c r="Y24" s="279"/>
      <c r="Z24" s="280"/>
      <c r="AA24" s="236"/>
      <c r="AB24" s="236"/>
      <c r="AC24" s="236"/>
      <c r="AD24" s="98"/>
    </row>
    <row r="25" ht="15.9" customHeight="1" outlineLevel="2" spans="2:30">
      <c r="B25" s="195"/>
      <c r="C25" s="34" t="s">
        <v>2400</v>
      </c>
      <c r="D25" s="65" t="s">
        <v>665</v>
      </c>
      <c r="E25" s="65">
        <v>48</v>
      </c>
      <c r="F25" s="108" t="s">
        <v>1546</v>
      </c>
      <c r="G25" s="108" t="e">
        <f>$D$5</f>
        <v>#REF!</v>
      </c>
      <c r="H25" s="198">
        <v>5.7</v>
      </c>
      <c r="I25" s="198" t="e">
        <f t="shared" si="2"/>
        <v>#REF!</v>
      </c>
      <c r="J25" s="198"/>
      <c r="K25" s="236"/>
      <c r="L25" s="222" t="str">
        <f>$I$2</f>
        <v>C</v>
      </c>
      <c r="M25" s="238">
        <v>18</v>
      </c>
      <c r="P25" s="247">
        <v>56</v>
      </c>
      <c r="Q25" s="247">
        <v>54.5</v>
      </c>
      <c r="R25" s="247">
        <v>51</v>
      </c>
      <c r="S25" s="247">
        <v>47.6</v>
      </c>
      <c r="T25" s="247">
        <v>45.1</v>
      </c>
      <c r="U25" s="265"/>
      <c r="V25" s="266"/>
      <c r="W25" s="266"/>
      <c r="X25" s="266"/>
      <c r="Y25" s="279"/>
      <c r="Z25" s="280"/>
      <c r="AA25" s="236"/>
      <c r="AB25" s="236"/>
      <c r="AC25" s="236"/>
      <c r="AD25" s="98"/>
    </row>
    <row r="26" ht="15.9" customHeight="1" outlineLevel="2" spans="2:30">
      <c r="B26" s="195"/>
      <c r="C26" s="34" t="s">
        <v>2401</v>
      </c>
      <c r="D26" s="65" t="s">
        <v>665</v>
      </c>
      <c r="E26" s="65">
        <v>3.7</v>
      </c>
      <c r="F26" s="108" t="s">
        <v>1015</v>
      </c>
      <c r="G26" s="108" t="e">
        <f>$D$5</f>
        <v>#REF!</v>
      </c>
      <c r="H26" s="34">
        <v>55</v>
      </c>
      <c r="I26" s="198" t="e">
        <f t="shared" si="2"/>
        <v>#REF!</v>
      </c>
      <c r="J26" s="198"/>
      <c r="K26" s="236"/>
      <c r="L26" s="222" t="str">
        <f>$I$2</f>
        <v>C</v>
      </c>
      <c r="M26" s="238">
        <v>19</v>
      </c>
      <c r="P26" s="247">
        <v>4</v>
      </c>
      <c r="Q26" s="247">
        <v>3.85</v>
      </c>
      <c r="R26" s="247">
        <v>3.7</v>
      </c>
      <c r="S26" s="247">
        <v>3.56</v>
      </c>
      <c r="T26" s="247">
        <v>3.49</v>
      </c>
      <c r="U26" s="265"/>
      <c r="V26" s="266"/>
      <c r="W26" s="266"/>
      <c r="X26" s="266"/>
      <c r="Y26" s="279"/>
      <c r="Z26" s="280"/>
      <c r="AA26" s="236"/>
      <c r="AB26" s="236"/>
      <c r="AC26" s="236"/>
      <c r="AD26" s="98"/>
    </row>
    <row r="27" ht="15.9" customHeight="1" outlineLevel="1" spans="2:30">
      <c r="B27" s="194" t="s">
        <v>622</v>
      </c>
      <c r="C27" s="1828" t="s">
        <v>1552</v>
      </c>
      <c r="D27" s="65" t="s">
        <v>665</v>
      </c>
      <c r="E27" s="200">
        <f>0.18</f>
        <v>0.18</v>
      </c>
      <c r="F27" s="108" t="s">
        <v>827</v>
      </c>
      <c r="G27" s="108" t="e">
        <f>$D$5</f>
        <v>#REF!</v>
      </c>
      <c r="H27" s="198">
        <v>500</v>
      </c>
      <c r="I27" s="198" t="e">
        <f t="shared" si="2"/>
        <v>#REF!</v>
      </c>
      <c r="J27" s="198" t="e">
        <f>IF(I27=0,"",IF(#REF!=0,"",I27*10000/#REF!))</f>
        <v>#REF!</v>
      </c>
      <c r="K27" s="236"/>
      <c r="L27" s="222" t="str">
        <f>$I$2</f>
        <v>C</v>
      </c>
      <c r="M27" s="238">
        <v>20</v>
      </c>
      <c r="P27" s="247">
        <f t="shared" ref="P27:T27" si="3">ROUND(IF(P3&gt;2.9,(P3-2.9)*0.1,0)+0.53-P24,2)</f>
        <v>0.14</v>
      </c>
      <c r="Q27" s="247">
        <f t="shared" si="3"/>
        <v>0.14</v>
      </c>
      <c r="R27" s="247">
        <f t="shared" si="3"/>
        <v>0.14</v>
      </c>
      <c r="S27" s="247">
        <f t="shared" si="3"/>
        <v>0.16</v>
      </c>
      <c r="T27" s="247">
        <f t="shared" si="3"/>
        <v>0.18</v>
      </c>
      <c r="U27" s="265"/>
      <c r="V27" s="266"/>
      <c r="W27" s="266"/>
      <c r="X27" s="266"/>
      <c r="Y27" s="279"/>
      <c r="Z27" s="280"/>
      <c r="AA27" s="236"/>
      <c r="AB27" s="236"/>
      <c r="AC27" s="236"/>
      <c r="AD27" s="98"/>
    </row>
    <row r="28" ht="15.9" customHeight="1" outlineLevel="1" spans="2:30">
      <c r="B28" s="194" t="s">
        <v>622</v>
      </c>
      <c r="C28" s="1828" t="s">
        <v>1564</v>
      </c>
      <c r="D28" s="65"/>
      <c r="E28" s="198"/>
      <c r="F28" s="108"/>
      <c r="G28" s="108"/>
      <c r="H28" s="201"/>
      <c r="I28" s="198" t="e">
        <f>SUM(I29:I34)</f>
        <v>#REF!</v>
      </c>
      <c r="J28" s="198" t="e">
        <f>IF(I28=0,"",IF(#REF!=0,"",I28*10000/#REF!))</f>
        <v>#REF!</v>
      </c>
      <c r="K28" s="236"/>
      <c r="L28" s="237"/>
      <c r="M28" s="238">
        <v>21</v>
      </c>
      <c r="P28" s="232"/>
      <c r="Q28" s="263"/>
      <c r="R28" s="263"/>
      <c r="S28" s="263"/>
      <c r="T28" s="264"/>
      <c r="U28" s="265"/>
      <c r="V28" s="266"/>
      <c r="W28" s="266"/>
      <c r="X28" s="266"/>
      <c r="Y28" s="279"/>
      <c r="Z28" s="280"/>
      <c r="AA28" s="236"/>
      <c r="AB28" s="236"/>
      <c r="AC28" s="236"/>
      <c r="AD28" s="98"/>
    </row>
    <row r="29" ht="15.9" customHeight="1" outlineLevel="2" spans="2:30">
      <c r="B29" s="195"/>
      <c r="C29" s="34" t="s">
        <v>2260</v>
      </c>
      <c r="D29" s="65" t="s">
        <v>665</v>
      </c>
      <c r="E29" s="65">
        <v>1</v>
      </c>
      <c r="F29" s="108" t="s">
        <v>1015</v>
      </c>
      <c r="G29" s="108" t="e">
        <f t="shared" ref="G29:G34" si="4">$D$5</f>
        <v>#REF!</v>
      </c>
      <c r="H29" s="198">
        <v>28</v>
      </c>
      <c r="I29" s="198" t="e">
        <f t="shared" ref="I29:I34" si="5">E29*G29*H29/10000</f>
        <v>#REF!</v>
      </c>
      <c r="J29" s="198"/>
      <c r="K29" s="236"/>
      <c r="L29" s="222" t="s">
        <v>2374</v>
      </c>
      <c r="M29" s="238">
        <v>22</v>
      </c>
      <c r="P29" s="247">
        <f t="shared" ref="P29:S29" si="6">Q29</f>
        <v>1.2</v>
      </c>
      <c r="Q29" s="247">
        <f t="shared" si="6"/>
        <v>1.2</v>
      </c>
      <c r="R29" s="247">
        <f t="shared" si="6"/>
        <v>1.2</v>
      </c>
      <c r="S29" s="247">
        <f t="shared" si="6"/>
        <v>1.2</v>
      </c>
      <c r="T29" s="247">
        <v>1.2</v>
      </c>
      <c r="U29" s="265"/>
      <c r="V29" s="266"/>
      <c r="W29" s="266"/>
      <c r="X29" s="266"/>
      <c r="Y29" s="279"/>
      <c r="Z29" s="280"/>
      <c r="AA29" s="236"/>
      <c r="AB29" s="236"/>
      <c r="AC29" s="236"/>
      <c r="AD29" s="98"/>
    </row>
    <row r="30" ht="15.9" customHeight="1" outlineLevel="2" spans="2:30">
      <c r="B30" s="195"/>
      <c r="C30" s="34" t="s">
        <v>2261</v>
      </c>
      <c r="D30" s="65" t="s">
        <v>665</v>
      </c>
      <c r="E30" s="65">
        <f t="shared" ref="E30:E34" si="7">HLOOKUP(L30,$P$8:$T$173,M30,FALSE)</f>
        <v>2</v>
      </c>
      <c r="F30" s="108" t="s">
        <v>1015</v>
      </c>
      <c r="G30" s="108" t="e">
        <f t="shared" si="4"/>
        <v>#REF!</v>
      </c>
      <c r="H30" s="198">
        <v>25</v>
      </c>
      <c r="I30" s="198" t="e">
        <f t="shared" si="5"/>
        <v>#REF!</v>
      </c>
      <c r="J30" s="198"/>
      <c r="K30" s="236"/>
      <c r="L30" s="222" t="s">
        <v>2374</v>
      </c>
      <c r="M30" s="238">
        <v>23</v>
      </c>
      <c r="P30" s="247">
        <f t="shared" ref="P30:T30" si="8">ROUND(IF(P3&gt;2.9,(P3-2.9)*1,0)+2,2)</f>
        <v>2.4</v>
      </c>
      <c r="Q30" s="247">
        <f t="shared" si="8"/>
        <v>2.25</v>
      </c>
      <c r="R30" s="247">
        <f t="shared" si="8"/>
        <v>2.1</v>
      </c>
      <c r="S30" s="247">
        <f t="shared" si="8"/>
        <v>2</v>
      </c>
      <c r="T30" s="247">
        <f t="shared" si="8"/>
        <v>2</v>
      </c>
      <c r="U30" s="265"/>
      <c r="V30" s="266"/>
      <c r="W30" s="266"/>
      <c r="X30" s="266"/>
      <c r="Y30" s="279"/>
      <c r="Z30" s="280"/>
      <c r="AA30" s="236"/>
      <c r="AB30" s="236"/>
      <c r="AC30" s="236"/>
      <c r="AD30" s="98"/>
    </row>
    <row r="31" ht="15.9" customHeight="1" outlineLevel="2" spans="2:30">
      <c r="B31" s="195"/>
      <c r="C31" s="34" t="s">
        <v>2262</v>
      </c>
      <c r="D31" s="65" t="s">
        <v>665</v>
      </c>
      <c r="E31" s="65">
        <f t="shared" si="7"/>
        <v>1.4</v>
      </c>
      <c r="F31" s="108" t="s">
        <v>1015</v>
      </c>
      <c r="G31" s="108" t="e">
        <f t="shared" si="4"/>
        <v>#REF!</v>
      </c>
      <c r="H31" s="198">
        <v>45</v>
      </c>
      <c r="I31" s="198" t="e">
        <f t="shared" si="5"/>
        <v>#REF!</v>
      </c>
      <c r="J31" s="198"/>
      <c r="K31" s="236"/>
      <c r="L31" s="222" t="s">
        <v>2374</v>
      </c>
      <c r="M31" s="238">
        <v>24</v>
      </c>
      <c r="P31" s="247">
        <f t="shared" ref="P31:S31" si="9">ROUND(IF(P3&gt;2.9,(P3-2.9)*1.7,0)+3.4-P30,2)</f>
        <v>1.68</v>
      </c>
      <c r="Q31" s="247">
        <f t="shared" si="9"/>
        <v>1.58</v>
      </c>
      <c r="R31" s="247">
        <f t="shared" si="9"/>
        <v>1.47</v>
      </c>
      <c r="S31" s="247">
        <f t="shared" si="9"/>
        <v>1.4</v>
      </c>
      <c r="T31" s="247">
        <f>ROUND(IF(T3&gt;2.9,(T3-2.9)*1.7,0)+3.3-T30,2)</f>
        <v>1.3</v>
      </c>
      <c r="U31" s="265"/>
      <c r="V31" s="266"/>
      <c r="W31" s="266"/>
      <c r="X31" s="266"/>
      <c r="Y31" s="279"/>
      <c r="Z31" s="280"/>
      <c r="AA31" s="236"/>
      <c r="AB31" s="236"/>
      <c r="AC31" s="236"/>
      <c r="AD31" s="98"/>
    </row>
    <row r="32" ht="15.9" customHeight="1" outlineLevel="2" spans="2:30">
      <c r="B32" s="195"/>
      <c r="C32" s="34" t="s">
        <v>2263</v>
      </c>
      <c r="D32" s="65" t="s">
        <v>665</v>
      </c>
      <c r="E32" s="65">
        <v>1.8</v>
      </c>
      <c r="F32" s="108" t="s">
        <v>1015</v>
      </c>
      <c r="G32" s="108" t="e">
        <f t="shared" si="4"/>
        <v>#REF!</v>
      </c>
      <c r="H32" s="198">
        <v>11</v>
      </c>
      <c r="I32" s="198" t="e">
        <f t="shared" si="5"/>
        <v>#REF!</v>
      </c>
      <c r="J32" s="198"/>
      <c r="K32" s="236"/>
      <c r="L32" s="222" t="s">
        <v>2374</v>
      </c>
      <c r="M32" s="238">
        <v>25</v>
      </c>
      <c r="P32" s="247">
        <f t="shared" ref="P32:T32" si="10">ROUND(IF(P3&gt;2.9,(P3-2.9)*1,0)+1.9,2)</f>
        <v>2.3</v>
      </c>
      <c r="Q32" s="247">
        <f t="shared" si="10"/>
        <v>2.15</v>
      </c>
      <c r="R32" s="247">
        <f t="shared" si="10"/>
        <v>2</v>
      </c>
      <c r="S32" s="247">
        <f t="shared" si="10"/>
        <v>1.9</v>
      </c>
      <c r="T32" s="247">
        <f t="shared" si="10"/>
        <v>1.9</v>
      </c>
      <c r="U32" s="265"/>
      <c r="V32" s="266"/>
      <c r="W32" s="266"/>
      <c r="X32" s="266"/>
      <c r="Y32" s="279"/>
      <c r="Z32" s="280"/>
      <c r="AA32" s="236"/>
      <c r="AB32" s="236"/>
      <c r="AC32" s="236"/>
      <c r="AD32" s="98"/>
    </row>
    <row r="33" ht="15.9" customHeight="1" outlineLevel="2" spans="2:30">
      <c r="B33" s="195"/>
      <c r="C33" s="34" t="s">
        <v>2264</v>
      </c>
      <c r="D33" s="65" t="s">
        <v>665</v>
      </c>
      <c r="E33" s="65">
        <f t="shared" si="7"/>
        <v>0.9</v>
      </c>
      <c r="F33" s="108" t="s">
        <v>1015</v>
      </c>
      <c r="G33" s="108" t="e">
        <f t="shared" si="4"/>
        <v>#REF!</v>
      </c>
      <c r="H33" s="198">
        <v>22</v>
      </c>
      <c r="I33" s="198" t="e">
        <f t="shared" si="5"/>
        <v>#REF!</v>
      </c>
      <c r="J33" s="198"/>
      <c r="K33" s="236"/>
      <c r="L33" s="222" t="s">
        <v>2374</v>
      </c>
      <c r="M33" s="238">
        <v>26</v>
      </c>
      <c r="P33" s="247">
        <f t="shared" ref="P33:T33" si="11">P87+P88</f>
        <v>0</v>
      </c>
      <c r="Q33" s="247">
        <f t="shared" si="11"/>
        <v>0</v>
      </c>
      <c r="R33" s="247">
        <f t="shared" si="11"/>
        <v>0</v>
      </c>
      <c r="S33" s="247">
        <f t="shared" si="11"/>
        <v>0.9</v>
      </c>
      <c r="T33" s="247">
        <f t="shared" si="11"/>
        <v>1.1</v>
      </c>
      <c r="U33" s="265"/>
      <c r="V33" s="266"/>
      <c r="W33" s="266"/>
      <c r="X33" s="266"/>
      <c r="Y33" s="279"/>
      <c r="Z33" s="280"/>
      <c r="AA33" s="236"/>
      <c r="AB33" s="236"/>
      <c r="AC33" s="236"/>
      <c r="AD33" s="98"/>
    </row>
    <row r="34" ht="15.9" customHeight="1" outlineLevel="2" spans="2:30">
      <c r="B34" s="195"/>
      <c r="C34" s="34" t="s">
        <v>2265</v>
      </c>
      <c r="D34" s="65" t="s">
        <v>2402</v>
      </c>
      <c r="E34" s="65">
        <f t="shared" si="7"/>
        <v>0.6</v>
      </c>
      <c r="F34" s="108" t="s">
        <v>1015</v>
      </c>
      <c r="G34" s="108" t="e">
        <f t="shared" si="4"/>
        <v>#REF!</v>
      </c>
      <c r="H34" s="198">
        <f>90-H31</f>
        <v>45</v>
      </c>
      <c r="I34" s="198" t="e">
        <f t="shared" si="5"/>
        <v>#REF!</v>
      </c>
      <c r="J34" s="198"/>
      <c r="K34" s="236"/>
      <c r="L34" s="222" t="s">
        <v>2374</v>
      </c>
      <c r="M34" s="238">
        <v>27</v>
      </c>
      <c r="N34" s="238"/>
      <c r="P34" s="247">
        <f t="shared" ref="P34:T34" si="12">P86</f>
        <v>0</v>
      </c>
      <c r="Q34" s="247">
        <f t="shared" si="12"/>
        <v>0</v>
      </c>
      <c r="R34" s="247">
        <f t="shared" si="12"/>
        <v>0</v>
      </c>
      <c r="S34" s="247">
        <f t="shared" si="12"/>
        <v>0.6</v>
      </c>
      <c r="T34" s="247">
        <f t="shared" si="12"/>
        <v>0.3</v>
      </c>
      <c r="U34" s="265"/>
      <c r="V34" s="266"/>
      <c r="W34" s="266"/>
      <c r="X34" s="266"/>
      <c r="Y34" s="279"/>
      <c r="Z34" s="280"/>
      <c r="AA34" s="236"/>
      <c r="AB34" s="236"/>
      <c r="AC34" s="236"/>
      <c r="AD34" s="98"/>
    </row>
    <row r="35" ht="15.9" customHeight="1" outlineLevel="1" spans="2:30">
      <c r="B35" s="194" t="s">
        <v>622</v>
      </c>
      <c r="C35" s="1828" t="s">
        <v>2266</v>
      </c>
      <c r="D35" s="65"/>
      <c r="E35" s="198"/>
      <c r="F35" s="108"/>
      <c r="G35" s="108"/>
      <c r="H35" s="202"/>
      <c r="I35" s="198" t="e">
        <f>SUM(I36:I41)</f>
        <v>#REF!</v>
      </c>
      <c r="J35" s="198" t="e">
        <f>IF(I35=0,"",IF(#REF!=0,"",I35*10000/#REF!))</f>
        <v>#REF!</v>
      </c>
      <c r="K35" s="236"/>
      <c r="L35" s="237"/>
      <c r="M35" s="238">
        <v>28</v>
      </c>
      <c r="N35" s="238"/>
      <c r="P35" s="247"/>
      <c r="Q35" s="247"/>
      <c r="R35" s="247"/>
      <c r="S35" s="247"/>
      <c r="T35" s="247"/>
      <c r="U35" s="265"/>
      <c r="V35" s="266"/>
      <c r="W35" s="266"/>
      <c r="X35" s="266"/>
      <c r="Y35" s="279"/>
      <c r="Z35" s="280"/>
      <c r="AA35" s="236"/>
      <c r="AB35" s="236"/>
      <c r="AC35" s="236"/>
      <c r="AD35" s="98"/>
    </row>
    <row r="36" ht="15.9" customHeight="1" outlineLevel="2" spans="2:30">
      <c r="B36" s="195"/>
      <c r="C36" s="34" t="s">
        <v>2267</v>
      </c>
      <c r="D36" s="65" t="s">
        <v>665</v>
      </c>
      <c r="E36" s="203">
        <f t="shared" ref="E36:E41" si="13">HLOOKUP(L36,$P$8:$T$173,M36,FALSE)</f>
        <v>0.03</v>
      </c>
      <c r="F36" s="108" t="s">
        <v>1015</v>
      </c>
      <c r="G36" s="108" t="e">
        <f>$D$5</f>
        <v>#REF!</v>
      </c>
      <c r="H36" s="93">
        <v>50</v>
      </c>
      <c r="I36" s="198" t="e">
        <f t="shared" ref="I36:I41" si="14">E36*G36*H36/10000</f>
        <v>#REF!</v>
      </c>
      <c r="J36" s="198"/>
      <c r="K36" s="236"/>
      <c r="L36" s="222" t="s">
        <v>2374</v>
      </c>
      <c r="M36" s="238">
        <v>29</v>
      </c>
      <c r="N36" s="238"/>
      <c r="P36" s="200">
        <v>0.03</v>
      </c>
      <c r="Q36" s="200">
        <v>0.03</v>
      </c>
      <c r="R36" s="200">
        <v>0.03</v>
      </c>
      <c r="S36" s="200">
        <v>0.03</v>
      </c>
      <c r="T36" s="200">
        <v>0.03</v>
      </c>
      <c r="U36" s="265"/>
      <c r="V36" s="266"/>
      <c r="W36" s="266"/>
      <c r="X36" s="266"/>
      <c r="Y36" s="279"/>
      <c r="Z36" s="280"/>
      <c r="AA36" s="236"/>
      <c r="AB36" s="236"/>
      <c r="AC36" s="236"/>
      <c r="AD36" s="98"/>
    </row>
    <row r="37" ht="15.9" customHeight="1" outlineLevel="2" spans="2:30">
      <c r="B37" s="195"/>
      <c r="C37" s="34" t="s">
        <v>2268</v>
      </c>
      <c r="D37" s="65" t="s">
        <v>665</v>
      </c>
      <c r="E37" s="203">
        <f t="shared" si="13"/>
        <v>0.12</v>
      </c>
      <c r="F37" s="108" t="s">
        <v>1015</v>
      </c>
      <c r="G37" s="108" t="e">
        <f>$D$5</f>
        <v>#REF!</v>
      </c>
      <c r="H37" s="93">
        <v>50</v>
      </c>
      <c r="I37" s="198" t="e">
        <f t="shared" si="14"/>
        <v>#REF!</v>
      </c>
      <c r="J37" s="198"/>
      <c r="K37" s="236"/>
      <c r="L37" s="222" t="s">
        <v>2374</v>
      </c>
      <c r="M37" s="238">
        <v>30</v>
      </c>
      <c r="N37" s="238"/>
      <c r="P37" s="200">
        <v>0.12</v>
      </c>
      <c r="Q37" s="200">
        <v>0.12</v>
      </c>
      <c r="R37" s="200">
        <v>0.12</v>
      </c>
      <c r="S37" s="200">
        <v>0.12</v>
      </c>
      <c r="T37" s="200">
        <v>0.12</v>
      </c>
      <c r="U37" s="265"/>
      <c r="V37" s="266"/>
      <c r="W37" s="266"/>
      <c r="X37" s="266"/>
      <c r="Y37" s="279"/>
      <c r="Z37" s="280"/>
      <c r="AA37" s="236"/>
      <c r="AB37" s="236"/>
      <c r="AC37" s="236"/>
      <c r="AD37" s="98"/>
    </row>
    <row r="38" ht="15.9" customHeight="1" outlineLevel="2" spans="2:30">
      <c r="B38" s="195"/>
      <c r="C38" s="34" t="s">
        <v>2269</v>
      </c>
      <c r="D38" s="65" t="s">
        <v>665</v>
      </c>
      <c r="E38" s="203">
        <f t="shared" si="13"/>
        <v>0.15</v>
      </c>
      <c r="F38" s="108" t="s">
        <v>1015</v>
      </c>
      <c r="G38" s="108" t="e">
        <f>$D$5</f>
        <v>#REF!</v>
      </c>
      <c r="H38" s="93">
        <v>55</v>
      </c>
      <c r="I38" s="198" t="e">
        <f t="shared" si="14"/>
        <v>#REF!</v>
      </c>
      <c r="J38" s="198"/>
      <c r="K38" s="236"/>
      <c r="L38" s="222" t="s">
        <v>2374</v>
      </c>
      <c r="M38" s="238">
        <v>31</v>
      </c>
      <c r="N38" s="238"/>
      <c r="P38" s="200">
        <v>0.15</v>
      </c>
      <c r="Q38" s="200">
        <v>0.15</v>
      </c>
      <c r="R38" s="200">
        <v>0.15</v>
      </c>
      <c r="S38" s="200">
        <v>0.15</v>
      </c>
      <c r="T38" s="200">
        <v>0.15</v>
      </c>
      <c r="U38" s="265"/>
      <c r="V38" s="266"/>
      <c r="W38" s="266"/>
      <c r="X38" s="266"/>
      <c r="Y38" s="279"/>
      <c r="Z38" s="280"/>
      <c r="AA38" s="236"/>
      <c r="AB38" s="236"/>
      <c r="AC38" s="236"/>
      <c r="AD38" s="98"/>
    </row>
    <row r="39" ht="15.9" customHeight="1" outlineLevel="2" spans="2:30">
      <c r="B39" s="195"/>
      <c r="C39" s="34" t="s">
        <v>2270</v>
      </c>
      <c r="D39" s="65" t="s">
        <v>862</v>
      </c>
      <c r="E39" s="65">
        <f t="shared" si="13"/>
        <v>1</v>
      </c>
      <c r="F39" s="108" t="s">
        <v>1015</v>
      </c>
      <c r="G39" s="108" t="e">
        <f>$D$3</f>
        <v>#REF!</v>
      </c>
      <c r="H39" s="93">
        <v>45</v>
      </c>
      <c r="I39" s="198" t="e">
        <f t="shared" si="14"/>
        <v>#REF!</v>
      </c>
      <c r="J39" s="198"/>
      <c r="K39" s="236"/>
      <c r="L39" s="222" t="s">
        <v>2374</v>
      </c>
      <c r="M39" s="238">
        <v>32</v>
      </c>
      <c r="N39" s="238"/>
      <c r="P39" s="200">
        <v>1</v>
      </c>
      <c r="Q39" s="200">
        <v>1</v>
      </c>
      <c r="R39" s="200">
        <v>1</v>
      </c>
      <c r="S39" s="200">
        <v>1</v>
      </c>
      <c r="T39" s="200">
        <v>1</v>
      </c>
      <c r="U39" s="265"/>
      <c r="V39" s="266"/>
      <c r="W39" s="266"/>
      <c r="X39" s="266"/>
      <c r="Y39" s="279"/>
      <c r="Z39" s="280"/>
      <c r="AA39" s="236"/>
      <c r="AB39" s="236"/>
      <c r="AC39" s="236"/>
      <c r="AD39" s="98"/>
    </row>
    <row r="40" ht="15.9" customHeight="1" outlineLevel="2" spans="2:30">
      <c r="B40" s="195"/>
      <c r="C40" s="34" t="s">
        <v>2271</v>
      </c>
      <c r="D40" s="65" t="s">
        <v>862</v>
      </c>
      <c r="E40" s="65">
        <f t="shared" si="13"/>
        <v>1.3</v>
      </c>
      <c r="F40" s="108" t="s">
        <v>1015</v>
      </c>
      <c r="G40" s="108" t="e">
        <f>$D$3</f>
        <v>#REF!</v>
      </c>
      <c r="H40" s="93">
        <v>100</v>
      </c>
      <c r="I40" s="198" t="e">
        <f t="shared" si="14"/>
        <v>#REF!</v>
      </c>
      <c r="J40" s="198"/>
      <c r="K40" s="236"/>
      <c r="L40" s="222" t="s">
        <v>2374</v>
      </c>
      <c r="M40" s="238">
        <v>33</v>
      </c>
      <c r="N40" s="238"/>
      <c r="P40" s="200">
        <v>1.3</v>
      </c>
      <c r="Q40" s="200">
        <v>1.3</v>
      </c>
      <c r="R40" s="200">
        <v>1.3</v>
      </c>
      <c r="S40" s="200">
        <v>1.3</v>
      </c>
      <c r="T40" s="200">
        <v>1.3</v>
      </c>
      <c r="U40" s="265"/>
      <c r="V40" s="266"/>
      <c r="W40" s="266"/>
      <c r="X40" s="266"/>
      <c r="Y40" s="279"/>
      <c r="Z40" s="280"/>
      <c r="AA40" s="236"/>
      <c r="AB40" s="236"/>
      <c r="AC40" s="236"/>
      <c r="AD40" s="98"/>
    </row>
    <row r="41" ht="15.9" customHeight="1" outlineLevel="2" spans="2:30">
      <c r="B41" s="195"/>
      <c r="C41" s="34" t="s">
        <v>2272</v>
      </c>
      <c r="D41" s="65" t="s">
        <v>665</v>
      </c>
      <c r="E41" s="65">
        <f t="shared" si="13"/>
        <v>0.03</v>
      </c>
      <c r="F41" s="108" t="s">
        <v>2504</v>
      </c>
      <c r="G41" s="108" t="e">
        <f>$D$5</f>
        <v>#REF!</v>
      </c>
      <c r="H41" s="93">
        <v>45</v>
      </c>
      <c r="I41" s="198" t="e">
        <f t="shared" si="14"/>
        <v>#REF!</v>
      </c>
      <c r="J41" s="198"/>
      <c r="K41" s="236"/>
      <c r="L41" s="222" t="s">
        <v>2374</v>
      </c>
      <c r="M41" s="238">
        <v>34</v>
      </c>
      <c r="N41" s="238"/>
      <c r="P41" s="200">
        <v>0.03</v>
      </c>
      <c r="Q41" s="200">
        <v>0.03</v>
      </c>
      <c r="R41" s="200">
        <v>0.03</v>
      </c>
      <c r="S41" s="200">
        <v>0.03</v>
      </c>
      <c r="T41" s="200">
        <v>0.03</v>
      </c>
      <c r="U41" s="265"/>
      <c r="V41" s="266"/>
      <c r="W41" s="266"/>
      <c r="X41" s="266"/>
      <c r="Y41" s="279"/>
      <c r="Z41" s="280"/>
      <c r="AA41" s="236"/>
      <c r="AB41" s="236"/>
      <c r="AC41" s="236"/>
      <c r="AD41" s="98"/>
    </row>
    <row r="42" ht="15.9" customHeight="1" outlineLevel="1" spans="2:30">
      <c r="B42" s="194" t="s">
        <v>622</v>
      </c>
      <c r="C42" s="39" t="s">
        <v>2273</v>
      </c>
      <c r="D42" s="197"/>
      <c r="E42" s="198"/>
      <c r="F42" s="108"/>
      <c r="G42" s="108"/>
      <c r="H42" s="202"/>
      <c r="I42" s="198" t="e">
        <f>SUM(I43:I44)</f>
        <v>#REF!</v>
      </c>
      <c r="J42" s="198" t="e">
        <f>IF(I42=0,"",IF(#REF!=0,"",I42*10000/#REF!))</f>
        <v>#REF!</v>
      </c>
      <c r="K42" s="236"/>
      <c r="L42" s="237"/>
      <c r="M42" s="238">
        <v>35</v>
      </c>
      <c r="N42" s="238"/>
      <c r="P42" s="232"/>
      <c r="Q42" s="263"/>
      <c r="R42" s="263"/>
      <c r="S42" s="248"/>
      <c r="T42" s="247"/>
      <c r="U42" s="265"/>
      <c r="V42" s="266"/>
      <c r="W42" s="266"/>
      <c r="X42" s="266"/>
      <c r="Y42" s="279"/>
      <c r="Z42" s="280"/>
      <c r="AA42" s="236"/>
      <c r="AB42" s="236"/>
      <c r="AC42" s="236"/>
      <c r="AD42" s="98"/>
    </row>
    <row r="43" ht="15.9" customHeight="1" outlineLevel="2" spans="2:30">
      <c r="B43" s="195"/>
      <c r="C43" s="34" t="s">
        <v>2403</v>
      </c>
      <c r="D43" s="65" t="s">
        <v>505</v>
      </c>
      <c r="E43" s="65">
        <f>HLOOKUP(L43,$P$8:$T$173,M43,FALSE)</f>
        <v>1</v>
      </c>
      <c r="F43" s="95" t="s">
        <v>2389</v>
      </c>
      <c r="G43" s="108" t="e">
        <f>$D$5</f>
        <v>#REF!</v>
      </c>
      <c r="H43" s="93" t="e">
        <f>#REF!</f>
        <v>#REF!</v>
      </c>
      <c r="I43" s="198" t="e">
        <f t="shared" ref="I43:I47" si="15">E43*G43*H43/10000</f>
        <v>#REF!</v>
      </c>
      <c r="J43" s="198" t="e">
        <f>IF(I43=0,"",IF(#REF!=0,"",I43*10000/#REF!))</f>
        <v>#REF!</v>
      </c>
      <c r="K43" s="236"/>
      <c r="L43" s="222" t="s">
        <v>2374</v>
      </c>
      <c r="M43" s="238">
        <v>36</v>
      </c>
      <c r="P43" s="248">
        <v>1.2</v>
      </c>
      <c r="Q43" s="248">
        <v>1.1</v>
      </c>
      <c r="R43" s="248">
        <v>1</v>
      </c>
      <c r="S43" s="248">
        <v>1</v>
      </c>
      <c r="T43" s="247">
        <v>1</v>
      </c>
      <c r="U43" s="265"/>
      <c r="V43" s="266"/>
      <c r="W43" s="266"/>
      <c r="X43" s="266"/>
      <c r="Y43" s="279"/>
      <c r="Z43" s="280"/>
      <c r="AA43" s="236"/>
      <c r="AB43" s="236"/>
      <c r="AC43" s="236"/>
      <c r="AD43" s="98"/>
    </row>
    <row r="44" ht="15.9" customHeight="1" outlineLevel="2" spans="2:30">
      <c r="B44" s="195"/>
      <c r="C44" s="34" t="s">
        <v>2404</v>
      </c>
      <c r="D44" s="65" t="s">
        <v>505</v>
      </c>
      <c r="E44" s="41">
        <f>HLOOKUP(L44,$P$8:$T$173,M44,FALSE)</f>
        <v>0.03</v>
      </c>
      <c r="F44" s="95" t="s">
        <v>2389</v>
      </c>
      <c r="G44" s="108" t="e">
        <f>$D$5</f>
        <v>#REF!</v>
      </c>
      <c r="H44" s="204" t="e">
        <f>SUM(J23,J27,J28,J35,J43)</f>
        <v>#REF!</v>
      </c>
      <c r="I44" s="198" t="e">
        <f t="shared" si="15"/>
        <v>#REF!</v>
      </c>
      <c r="J44" s="198"/>
      <c r="K44" s="236"/>
      <c r="L44" s="222" t="s">
        <v>2374</v>
      </c>
      <c r="M44" s="238">
        <v>37</v>
      </c>
      <c r="P44" s="249">
        <v>0.03</v>
      </c>
      <c r="Q44" s="41">
        <v>0.03</v>
      </c>
      <c r="R44" s="41">
        <v>0.03</v>
      </c>
      <c r="S44" s="41">
        <v>0.03</v>
      </c>
      <c r="T44" s="271">
        <v>0.03</v>
      </c>
      <c r="U44" s="265"/>
      <c r="V44" s="266"/>
      <c r="W44" s="266"/>
      <c r="X44" s="266"/>
      <c r="Y44" s="279"/>
      <c r="Z44" s="280"/>
      <c r="AA44" s="236"/>
      <c r="AB44" s="236"/>
      <c r="AC44" s="236"/>
      <c r="AD44" s="98"/>
    </row>
    <row r="45" ht="15.9" customHeight="1" outlineLevel="1" spans="2:30">
      <c r="B45" s="194" t="s">
        <v>622</v>
      </c>
      <c r="C45" s="64" t="s">
        <v>2276</v>
      </c>
      <c r="D45" s="65"/>
      <c r="E45" s="114"/>
      <c r="F45" s="108"/>
      <c r="G45" s="108"/>
      <c r="H45" s="205"/>
      <c r="I45" s="116" t="e">
        <f>SUM(I46:I47)</f>
        <v>#REF!</v>
      </c>
      <c r="J45" s="198" t="e">
        <f>IF(I45=0,"",IF(#REF!=0,"",I45*10000/#REF!))</f>
        <v>#REF!</v>
      </c>
      <c r="K45" s="250"/>
      <c r="L45" s="237"/>
      <c r="M45" s="238">
        <v>38</v>
      </c>
      <c r="P45" s="232"/>
      <c r="Q45" s="263"/>
      <c r="R45" s="263"/>
      <c r="S45" s="263"/>
      <c r="T45" s="264"/>
      <c r="U45" s="265"/>
      <c r="V45" s="266"/>
      <c r="W45" s="266"/>
      <c r="X45" s="266"/>
      <c r="Y45" s="279"/>
      <c r="Z45" s="280"/>
      <c r="AA45" s="236"/>
      <c r="AB45" s="236"/>
      <c r="AC45" s="236"/>
      <c r="AD45" s="98"/>
    </row>
    <row r="46" ht="15.9" customHeight="1" outlineLevel="2" spans="2:30">
      <c r="B46" s="195"/>
      <c r="C46" s="107" t="s">
        <v>2405</v>
      </c>
      <c r="D46" s="65" t="s">
        <v>862</v>
      </c>
      <c r="E46" s="114">
        <f>HLOOKUP(L46,$P$8:$T$173,M46)</f>
        <v>2</v>
      </c>
      <c r="F46" s="108" t="s">
        <v>1015</v>
      </c>
      <c r="G46" s="108" t="e">
        <f>$D$3</f>
        <v>#REF!</v>
      </c>
      <c r="H46" s="116">
        <v>60</v>
      </c>
      <c r="I46" s="116" t="e">
        <f t="shared" si="15"/>
        <v>#REF!</v>
      </c>
      <c r="J46" s="116" t="s">
        <v>511</v>
      </c>
      <c r="K46" s="236"/>
      <c r="L46" s="222" t="str">
        <f>$I$2</f>
        <v>C</v>
      </c>
      <c r="M46" s="238">
        <v>39</v>
      </c>
      <c r="P46" s="232"/>
      <c r="Q46" s="263"/>
      <c r="R46" s="263"/>
      <c r="S46" s="248">
        <v>2</v>
      </c>
      <c r="T46" s="264"/>
      <c r="U46" s="265"/>
      <c r="V46" s="266"/>
      <c r="W46" s="266"/>
      <c r="X46" s="266"/>
      <c r="Y46" s="279"/>
      <c r="Z46" s="280"/>
      <c r="AA46" s="236"/>
      <c r="AB46" s="236"/>
      <c r="AC46" s="236"/>
      <c r="AD46" s="98"/>
    </row>
    <row r="47" ht="15.9" customHeight="1" outlineLevel="2" spans="2:30">
      <c r="B47" s="195"/>
      <c r="C47" s="107" t="s">
        <v>2406</v>
      </c>
      <c r="D47" s="65" t="s">
        <v>665</v>
      </c>
      <c r="E47" s="114">
        <v>0.6</v>
      </c>
      <c r="F47" s="108" t="s">
        <v>1015</v>
      </c>
      <c r="G47" s="108" t="e">
        <f>$D$5</f>
        <v>#REF!</v>
      </c>
      <c r="H47" s="116">
        <f>HLOOKUP(L47,$U$8:$Y$173,M47,FALSE)</f>
        <v>90</v>
      </c>
      <c r="I47" s="116" t="e">
        <f t="shared" si="15"/>
        <v>#REF!</v>
      </c>
      <c r="J47" s="116"/>
      <c r="K47" s="236"/>
      <c r="L47" s="222" t="str">
        <f>$I$2</f>
        <v>C</v>
      </c>
      <c r="M47" s="238">
        <v>40</v>
      </c>
      <c r="P47" s="232"/>
      <c r="Q47" s="263"/>
      <c r="R47" s="263"/>
      <c r="S47" s="248">
        <v>0.7</v>
      </c>
      <c r="T47" s="264"/>
      <c r="U47" s="265"/>
      <c r="V47" s="266"/>
      <c r="W47" s="266"/>
      <c r="X47" s="266">
        <v>90</v>
      </c>
      <c r="Y47" s="279"/>
      <c r="Z47" s="280"/>
      <c r="AA47" s="236"/>
      <c r="AB47" s="236"/>
      <c r="AC47" s="236"/>
      <c r="AD47" s="98"/>
    </row>
    <row r="48" ht="15.9" customHeight="1" outlineLevel="1" spans="2:30">
      <c r="B48" s="194" t="s">
        <v>622</v>
      </c>
      <c r="C48" s="39" t="s">
        <v>1275</v>
      </c>
      <c r="D48" s="197"/>
      <c r="E48" s="114"/>
      <c r="F48" s="108"/>
      <c r="G48" s="108"/>
      <c r="H48" s="93"/>
      <c r="I48" s="198" t="e">
        <f>SUM(I49:I50)</f>
        <v>#REF!</v>
      </c>
      <c r="J48" s="198" t="e">
        <f>IF(I48=0,"",IF(#REF!=0,"",I48*10000/#REF!))</f>
        <v>#REF!</v>
      </c>
      <c r="K48" s="236"/>
      <c r="L48" s="237"/>
      <c r="M48" s="238">
        <v>41</v>
      </c>
      <c r="P48" s="232"/>
      <c r="Q48" s="263"/>
      <c r="R48" s="263"/>
      <c r="S48" s="263"/>
      <c r="T48" s="264"/>
      <c r="U48" s="265"/>
      <c r="V48" s="266"/>
      <c r="W48" s="266"/>
      <c r="X48" s="266"/>
      <c r="Y48" s="279"/>
      <c r="Z48" s="280"/>
      <c r="AA48" s="236"/>
      <c r="AB48" s="236"/>
      <c r="AC48" s="236"/>
      <c r="AD48" s="98"/>
    </row>
    <row r="49" ht="15.9" customHeight="1" outlineLevel="2" spans="2:30">
      <c r="B49" s="195"/>
      <c r="C49" s="34" t="s">
        <v>2407</v>
      </c>
      <c r="D49" s="65" t="s">
        <v>2408</v>
      </c>
      <c r="E49" s="65">
        <f>HLOOKUP(L49,$P$8:$T$173,M49,FALSE)</f>
        <v>2.9</v>
      </c>
      <c r="F49" s="95" t="s">
        <v>1637</v>
      </c>
      <c r="G49" s="108" t="e">
        <f>I5</f>
        <v>#REF!</v>
      </c>
      <c r="H49" s="93">
        <v>90</v>
      </c>
      <c r="I49" s="198" t="e">
        <f>E49*G49*H49/10000</f>
        <v>#REF!</v>
      </c>
      <c r="J49" s="198"/>
      <c r="K49" s="236"/>
      <c r="L49" s="222" t="s">
        <v>2374</v>
      </c>
      <c r="M49" s="238">
        <v>42</v>
      </c>
      <c r="P49" s="247">
        <f t="shared" ref="P49:T49" si="16">ROUND(IF(P3&gt;2.8,(P3-2.8)*1,0)+2.9,2)</f>
        <v>3.4</v>
      </c>
      <c r="Q49" s="247">
        <f t="shared" si="16"/>
        <v>3.25</v>
      </c>
      <c r="R49" s="247">
        <f t="shared" si="16"/>
        <v>3.1</v>
      </c>
      <c r="S49" s="247">
        <f t="shared" si="16"/>
        <v>2.9</v>
      </c>
      <c r="T49" s="247">
        <f t="shared" si="16"/>
        <v>2.9</v>
      </c>
      <c r="U49" s="265"/>
      <c r="V49" s="266"/>
      <c r="W49" s="266"/>
      <c r="X49" s="266"/>
      <c r="Y49" s="279"/>
      <c r="Z49" s="280"/>
      <c r="AA49" s="236"/>
      <c r="AB49" s="236"/>
      <c r="AC49" s="236"/>
      <c r="AD49" s="98"/>
    </row>
    <row r="50" ht="15.9" customHeight="1" outlineLevel="2" spans="2:30">
      <c r="B50" s="195"/>
      <c r="C50" s="34" t="s">
        <v>2335</v>
      </c>
      <c r="D50" s="65" t="s">
        <v>2408</v>
      </c>
      <c r="E50" s="65">
        <f>HLOOKUP(L50,$P$8:$T$173,M50,FALSE)</f>
        <v>2.9</v>
      </c>
      <c r="F50" s="108" t="s">
        <v>1637</v>
      </c>
      <c r="G50" s="108" t="e">
        <f>G49</f>
        <v>#REF!</v>
      </c>
      <c r="H50" s="93">
        <v>70</v>
      </c>
      <c r="I50" s="198" t="e">
        <f>E50*G50*H50/10000</f>
        <v>#REF!</v>
      </c>
      <c r="J50" s="198"/>
      <c r="K50" s="236"/>
      <c r="L50" s="222" t="s">
        <v>2374</v>
      </c>
      <c r="M50" s="238">
        <v>43</v>
      </c>
      <c r="P50" s="247">
        <f t="shared" ref="P50:T50" si="17">ROUND(IF(P3&gt;2.8,(P3-2.8)*1,0)+2.9,2)</f>
        <v>3.4</v>
      </c>
      <c r="Q50" s="247">
        <f t="shared" si="17"/>
        <v>3.25</v>
      </c>
      <c r="R50" s="247">
        <f t="shared" si="17"/>
        <v>3.1</v>
      </c>
      <c r="S50" s="247">
        <f t="shared" si="17"/>
        <v>2.9</v>
      </c>
      <c r="T50" s="247">
        <f t="shared" si="17"/>
        <v>2.9</v>
      </c>
      <c r="U50" s="265"/>
      <c r="V50" s="266"/>
      <c r="W50" s="266"/>
      <c r="X50" s="266"/>
      <c r="Y50" s="279"/>
      <c r="Z50" s="280"/>
      <c r="AA50" s="236"/>
      <c r="AB50" s="236"/>
      <c r="AC50" s="236"/>
      <c r="AD50" s="98"/>
    </row>
    <row r="51" ht="15.9" customHeight="1" spans="2:30">
      <c r="B51" s="102" t="s">
        <v>533</v>
      </c>
      <c r="C51" s="103" t="s">
        <v>2278</v>
      </c>
      <c r="D51" s="192"/>
      <c r="E51" s="192"/>
      <c r="F51" s="206"/>
      <c r="G51" s="206"/>
      <c r="H51" s="206"/>
      <c r="I51" s="150" t="e">
        <f>I52+I73</f>
        <v>#REF!</v>
      </c>
      <c r="J51" s="150" t="e">
        <f>IF(I51=0,"",IF(#REF!=0,"",I51*10000/#REF!))</f>
        <v>#REF!</v>
      </c>
      <c r="K51" s="251"/>
      <c r="L51" s="231"/>
      <c r="M51" s="238">
        <v>44</v>
      </c>
      <c r="P51" s="232"/>
      <c r="Q51" s="263"/>
      <c r="R51" s="263"/>
      <c r="S51" s="263"/>
      <c r="T51" s="264"/>
      <c r="U51" s="265"/>
      <c r="V51" s="266"/>
      <c r="W51" s="266"/>
      <c r="X51" s="266"/>
      <c r="Y51" s="279"/>
      <c r="Z51" s="280"/>
      <c r="AA51" s="236"/>
      <c r="AB51" s="236"/>
      <c r="AC51" s="236"/>
      <c r="AD51" s="98"/>
    </row>
    <row r="52" ht="15.9" customHeight="1" spans="2:30">
      <c r="B52" s="1831" t="s">
        <v>2247</v>
      </c>
      <c r="C52" s="121" t="s">
        <v>2279</v>
      </c>
      <c r="D52" s="193"/>
      <c r="E52" s="193"/>
      <c r="F52" s="155"/>
      <c r="G52" s="155"/>
      <c r="H52" s="155"/>
      <c r="I52" s="156" t="e">
        <f>I53+I65</f>
        <v>#REF!</v>
      </c>
      <c r="J52" s="156" t="e">
        <f>IF(I52=0,"",IF(#REF!=0,"",I52*10000/#REF!))</f>
        <v>#REF!</v>
      </c>
      <c r="K52" s="233"/>
      <c r="L52" s="234"/>
      <c r="M52" s="238">
        <v>45</v>
      </c>
      <c r="P52" s="232"/>
      <c r="Q52" s="263"/>
      <c r="R52" s="263"/>
      <c r="S52" s="263"/>
      <c r="T52" s="264"/>
      <c r="U52" s="265"/>
      <c r="V52" s="266"/>
      <c r="W52" s="266"/>
      <c r="X52" s="266"/>
      <c r="Y52" s="279"/>
      <c r="Z52" s="280"/>
      <c r="AA52" s="236"/>
      <c r="AB52" s="236"/>
      <c r="AC52" s="236"/>
      <c r="AD52" s="98"/>
    </row>
    <row r="53" ht="15.9" customHeight="1" outlineLevel="1" spans="2:30">
      <c r="B53" s="194" t="s">
        <v>622</v>
      </c>
      <c r="C53" s="64" t="s">
        <v>2280</v>
      </c>
      <c r="D53" s="207"/>
      <c r="E53" s="65"/>
      <c r="F53" s="108"/>
      <c r="G53" s="108"/>
      <c r="H53" s="108"/>
      <c r="I53" s="252" t="e">
        <f>SUM(I54:I60)</f>
        <v>#REF!</v>
      </c>
      <c r="J53" s="252" t="e">
        <f>IF(I53=0,"",IF(#REF!=0,"",I53*10000/#REF!))</f>
        <v>#REF!</v>
      </c>
      <c r="K53" s="236"/>
      <c r="L53" s="237"/>
      <c r="M53" s="238">
        <v>46</v>
      </c>
      <c r="P53" s="232"/>
      <c r="Q53" s="263"/>
      <c r="R53" s="263"/>
      <c r="S53" s="263"/>
      <c r="T53" s="264"/>
      <c r="U53" s="265"/>
      <c r="V53" s="266"/>
      <c r="W53" s="266"/>
      <c r="X53" s="266"/>
      <c r="Y53" s="279"/>
      <c r="Z53" s="280"/>
      <c r="AA53" s="236"/>
      <c r="AB53" s="236"/>
      <c r="AC53" s="236"/>
      <c r="AD53" s="98"/>
    </row>
    <row r="54" ht="15.9" customHeight="1" outlineLevel="3" spans="2:30">
      <c r="B54" s="208"/>
      <c r="C54" s="209" t="s">
        <v>2505</v>
      </c>
      <c r="D54" s="210" t="s">
        <v>505</v>
      </c>
      <c r="E54" s="65">
        <v>1</v>
      </c>
      <c r="F54" s="108" t="s">
        <v>655</v>
      </c>
      <c r="G54" s="108" t="e">
        <f t="shared" ref="G54:G59" si="18">$D$5</f>
        <v>#REF!</v>
      </c>
      <c r="H54" s="211">
        <v>55</v>
      </c>
      <c r="I54" s="116" t="e">
        <f t="shared" ref="I54:I60" si="19">E54*G54*H54/10000</f>
        <v>#REF!</v>
      </c>
      <c r="J54" s="116"/>
      <c r="K54" s="236"/>
      <c r="L54" s="237"/>
      <c r="M54" s="238">
        <v>47</v>
      </c>
      <c r="P54" s="232"/>
      <c r="Q54" s="263"/>
      <c r="R54" s="263"/>
      <c r="S54" s="263"/>
      <c r="T54" s="264"/>
      <c r="U54" s="265"/>
      <c r="V54" s="266"/>
      <c r="W54" s="266"/>
      <c r="X54" s="266"/>
      <c r="Y54" s="279"/>
      <c r="Z54" s="280"/>
      <c r="AA54" s="236"/>
      <c r="AB54" s="236"/>
      <c r="AC54" s="236"/>
      <c r="AD54" s="98"/>
    </row>
    <row r="55" ht="15.9" customHeight="1" outlineLevel="3" spans="2:30">
      <c r="B55" s="208"/>
      <c r="C55" s="212" t="s">
        <v>2506</v>
      </c>
      <c r="D55" s="210" t="s">
        <v>505</v>
      </c>
      <c r="E55" s="65">
        <v>1</v>
      </c>
      <c r="F55" s="108" t="s">
        <v>655</v>
      </c>
      <c r="G55" s="108" t="e">
        <f t="shared" si="18"/>
        <v>#REF!</v>
      </c>
      <c r="H55" s="211">
        <v>6</v>
      </c>
      <c r="I55" s="116" t="e">
        <f t="shared" si="19"/>
        <v>#REF!</v>
      </c>
      <c r="J55" s="116"/>
      <c r="K55" s="236"/>
      <c r="L55" s="237"/>
      <c r="M55" s="238">
        <v>48</v>
      </c>
      <c r="P55" s="232"/>
      <c r="Q55" s="263"/>
      <c r="R55" s="263"/>
      <c r="S55" s="263"/>
      <c r="T55" s="264"/>
      <c r="U55" s="265"/>
      <c r="V55" s="266"/>
      <c r="W55" s="266"/>
      <c r="X55" s="266"/>
      <c r="Y55" s="279"/>
      <c r="Z55" s="280"/>
      <c r="AA55" s="236"/>
      <c r="AB55" s="236"/>
      <c r="AC55" s="236"/>
      <c r="AD55" s="98"/>
    </row>
    <row r="56" ht="15.9" customHeight="1" outlineLevel="3" spans="2:30">
      <c r="B56" s="208"/>
      <c r="C56" s="212" t="s">
        <v>2410</v>
      </c>
      <c r="D56" s="210" t="s">
        <v>505</v>
      </c>
      <c r="E56" s="65">
        <v>1</v>
      </c>
      <c r="F56" s="108" t="s">
        <v>655</v>
      </c>
      <c r="G56" s="108" t="e">
        <f t="shared" si="18"/>
        <v>#REF!</v>
      </c>
      <c r="H56" s="211">
        <v>3</v>
      </c>
      <c r="I56" s="116" t="e">
        <f t="shared" si="19"/>
        <v>#REF!</v>
      </c>
      <c r="J56" s="116"/>
      <c r="K56" s="236"/>
      <c r="L56" s="237"/>
      <c r="M56" s="238">
        <v>49</v>
      </c>
      <c r="P56" s="232"/>
      <c r="Q56" s="263"/>
      <c r="R56" s="263"/>
      <c r="S56" s="263"/>
      <c r="T56" s="264"/>
      <c r="U56" s="265"/>
      <c r="V56" s="266"/>
      <c r="W56" s="266"/>
      <c r="X56" s="266"/>
      <c r="Y56" s="279"/>
      <c r="Z56" s="280"/>
      <c r="AA56" s="236"/>
      <c r="AB56" s="236"/>
      <c r="AC56" s="236"/>
      <c r="AD56" s="98"/>
    </row>
    <row r="57" ht="15.9" customHeight="1" outlineLevel="3" spans="2:30">
      <c r="B57" s="208"/>
      <c r="C57" s="212" t="s">
        <v>2507</v>
      </c>
      <c r="D57" s="210" t="s">
        <v>505</v>
      </c>
      <c r="E57" s="65">
        <v>1</v>
      </c>
      <c r="F57" s="108" t="s">
        <v>655</v>
      </c>
      <c r="G57" s="108" t="e">
        <f t="shared" si="18"/>
        <v>#REF!</v>
      </c>
      <c r="H57" s="211">
        <v>10</v>
      </c>
      <c r="I57" s="116" t="e">
        <f t="shared" si="19"/>
        <v>#REF!</v>
      </c>
      <c r="J57" s="116"/>
      <c r="K57" s="236"/>
      <c r="L57" s="237"/>
      <c r="M57" s="238">
        <v>50</v>
      </c>
      <c r="P57" s="232"/>
      <c r="Q57" s="263"/>
      <c r="R57" s="263"/>
      <c r="S57" s="263"/>
      <c r="T57" s="264"/>
      <c r="U57" s="265"/>
      <c r="V57" s="266"/>
      <c r="W57" s="266"/>
      <c r="X57" s="266"/>
      <c r="Y57" s="279"/>
      <c r="Z57" s="280"/>
      <c r="AA57" s="236"/>
      <c r="AB57" s="236"/>
      <c r="AC57" s="236"/>
      <c r="AD57" s="98"/>
    </row>
    <row r="58" ht="15.9" customHeight="1" outlineLevel="3" spans="2:30">
      <c r="B58" s="208"/>
      <c r="C58" s="212" t="s">
        <v>2508</v>
      </c>
      <c r="D58" s="210" t="s">
        <v>505</v>
      </c>
      <c r="E58" s="65">
        <v>1</v>
      </c>
      <c r="F58" s="108" t="s">
        <v>655</v>
      </c>
      <c r="G58" s="108" t="e">
        <f t="shared" si="18"/>
        <v>#REF!</v>
      </c>
      <c r="H58" s="211">
        <v>4</v>
      </c>
      <c r="I58" s="116" t="e">
        <f t="shared" si="19"/>
        <v>#REF!</v>
      </c>
      <c r="J58" s="116"/>
      <c r="K58" s="236"/>
      <c r="L58" s="237"/>
      <c r="M58" s="238">
        <v>51</v>
      </c>
      <c r="P58" s="232"/>
      <c r="Q58" s="263"/>
      <c r="R58" s="263"/>
      <c r="S58" s="263"/>
      <c r="T58" s="264"/>
      <c r="U58" s="265"/>
      <c r="V58" s="266"/>
      <c r="W58" s="266"/>
      <c r="X58" s="266"/>
      <c r="Y58" s="279"/>
      <c r="Z58" s="280"/>
      <c r="AA58" s="236"/>
      <c r="AB58" s="236"/>
      <c r="AC58" s="236"/>
      <c r="AD58" s="98"/>
    </row>
    <row r="59" ht="15.9" customHeight="1" outlineLevel="3" spans="2:30">
      <c r="B59" s="208"/>
      <c r="C59" s="212" t="s">
        <v>2413</v>
      </c>
      <c r="D59" s="210" t="s">
        <v>505</v>
      </c>
      <c r="E59" s="65">
        <v>1</v>
      </c>
      <c r="F59" s="108" t="s">
        <v>655</v>
      </c>
      <c r="G59" s="108" t="e">
        <f t="shared" si="18"/>
        <v>#REF!</v>
      </c>
      <c r="H59" s="211">
        <v>2</v>
      </c>
      <c r="I59" s="116" t="e">
        <f t="shared" si="19"/>
        <v>#REF!</v>
      </c>
      <c r="J59" s="116"/>
      <c r="K59" s="236"/>
      <c r="L59" s="237"/>
      <c r="M59" s="238">
        <v>52</v>
      </c>
      <c r="P59" s="232"/>
      <c r="Q59" s="263"/>
      <c r="R59" s="263"/>
      <c r="S59" s="263"/>
      <c r="T59" s="264"/>
      <c r="U59" s="265"/>
      <c r="V59" s="266"/>
      <c r="W59" s="266"/>
      <c r="X59" s="266"/>
      <c r="Y59" s="279"/>
      <c r="Z59" s="280"/>
      <c r="AA59" s="236"/>
      <c r="AB59" s="236"/>
      <c r="AC59" s="236"/>
      <c r="AD59" s="98"/>
    </row>
    <row r="60" ht="15.9" customHeight="1" outlineLevel="3" spans="2:30">
      <c r="B60" s="208"/>
      <c r="C60" s="212" t="s">
        <v>2414</v>
      </c>
      <c r="D60" s="210" t="s">
        <v>601</v>
      </c>
      <c r="E60" s="65">
        <v>1</v>
      </c>
      <c r="F60" s="108" t="s">
        <v>1681</v>
      </c>
      <c r="G60" s="108" t="e">
        <f>$I$5</f>
        <v>#REF!</v>
      </c>
      <c r="H60" s="108">
        <f>HLOOKUP(L60,$U$8:$Y$173,M60,FALSE)</f>
        <v>370</v>
      </c>
      <c r="I60" s="116" t="e">
        <f t="shared" si="19"/>
        <v>#REF!</v>
      </c>
      <c r="J60" s="116"/>
      <c r="K60" s="236"/>
      <c r="L60" s="222" t="str">
        <f>$I$2</f>
        <v>C</v>
      </c>
      <c r="M60" s="238">
        <v>53</v>
      </c>
      <c r="P60" s="232"/>
      <c r="Q60" s="263"/>
      <c r="R60" s="263"/>
      <c r="S60" s="263"/>
      <c r="T60" s="264"/>
      <c r="U60" s="265"/>
      <c r="V60" s="266"/>
      <c r="W60" s="266"/>
      <c r="X60" s="266">
        <v>370</v>
      </c>
      <c r="Y60" s="279"/>
      <c r="Z60" s="280"/>
      <c r="AA60" s="236"/>
      <c r="AB60" s="236"/>
      <c r="AC60" s="236"/>
      <c r="AD60" s="98"/>
    </row>
    <row r="61" ht="15.9" customHeight="1" outlineLevel="1" spans="2:30">
      <c r="B61" s="213" t="s">
        <v>622</v>
      </c>
      <c r="C61" s="196" t="s">
        <v>2284</v>
      </c>
      <c r="D61" s="65"/>
      <c r="E61" s="65"/>
      <c r="F61" s="108"/>
      <c r="G61" s="108"/>
      <c r="H61" s="211"/>
      <c r="I61" s="116"/>
      <c r="J61" s="116" t="s">
        <v>511</v>
      </c>
      <c r="K61" s="236"/>
      <c r="L61" s="237"/>
      <c r="M61" s="238">
        <v>54</v>
      </c>
      <c r="P61" s="232"/>
      <c r="Q61" s="263"/>
      <c r="R61" s="263"/>
      <c r="S61" s="263"/>
      <c r="T61" s="264"/>
      <c r="U61" s="265"/>
      <c r="V61" s="266"/>
      <c r="W61" s="266"/>
      <c r="X61" s="266"/>
      <c r="Y61" s="279"/>
      <c r="Z61" s="280"/>
      <c r="AA61" s="236"/>
      <c r="AB61" s="236"/>
      <c r="AC61" s="236"/>
      <c r="AD61" s="98"/>
    </row>
    <row r="62" ht="15.9" hidden="1" customHeight="1" outlineLevel="2" spans="2:30">
      <c r="B62" s="214"/>
      <c r="C62" s="215" t="s">
        <v>2415</v>
      </c>
      <c r="D62" s="65"/>
      <c r="E62" s="65"/>
      <c r="F62" s="108"/>
      <c r="G62" s="108"/>
      <c r="H62" s="211"/>
      <c r="I62" s="116"/>
      <c r="J62" s="116"/>
      <c r="K62" s="236"/>
      <c r="L62" s="237"/>
      <c r="M62" s="238">
        <v>55</v>
      </c>
      <c r="P62" s="232"/>
      <c r="Q62" s="263"/>
      <c r="R62" s="263"/>
      <c r="S62" s="263"/>
      <c r="T62" s="264"/>
      <c r="U62" s="265"/>
      <c r="V62" s="266"/>
      <c r="W62" s="266"/>
      <c r="X62" s="266"/>
      <c r="Y62" s="279"/>
      <c r="Z62" s="280"/>
      <c r="AA62" s="236"/>
      <c r="AB62" s="236"/>
      <c r="AC62" s="236"/>
      <c r="AD62" s="98"/>
    </row>
    <row r="63" ht="15.9" hidden="1" customHeight="1" outlineLevel="2" spans="2:30">
      <c r="B63" s="214"/>
      <c r="C63" s="215" t="s">
        <v>2416</v>
      </c>
      <c r="D63" s="65"/>
      <c r="E63" s="65"/>
      <c r="F63" s="108"/>
      <c r="G63" s="108"/>
      <c r="H63" s="211"/>
      <c r="I63" s="116"/>
      <c r="J63" s="116"/>
      <c r="K63" s="236"/>
      <c r="L63" s="237"/>
      <c r="M63" s="238">
        <v>56</v>
      </c>
      <c r="P63" s="232"/>
      <c r="Q63" s="263"/>
      <c r="R63" s="263"/>
      <c r="S63" s="263"/>
      <c r="T63" s="264"/>
      <c r="U63" s="265"/>
      <c r="V63" s="266"/>
      <c r="W63" s="266"/>
      <c r="X63" s="266"/>
      <c r="Y63" s="279"/>
      <c r="Z63" s="280"/>
      <c r="AA63" s="236"/>
      <c r="AB63" s="236"/>
      <c r="AC63" s="236"/>
      <c r="AD63" s="98"/>
    </row>
    <row r="64" ht="15.9" customHeight="1" outlineLevel="1" collapsed="1" spans="2:30">
      <c r="B64" s="213" t="s">
        <v>622</v>
      </c>
      <c r="C64" s="196" t="s">
        <v>2355</v>
      </c>
      <c r="D64" s="65"/>
      <c r="E64" s="65"/>
      <c r="F64" s="108"/>
      <c r="G64" s="108"/>
      <c r="H64" s="211"/>
      <c r="I64" s="116"/>
      <c r="J64" s="116" t="s">
        <v>511</v>
      </c>
      <c r="K64" s="236"/>
      <c r="L64" s="237"/>
      <c r="M64" s="238">
        <v>57</v>
      </c>
      <c r="P64" s="232"/>
      <c r="Q64" s="263"/>
      <c r="R64" s="263"/>
      <c r="S64" s="263"/>
      <c r="T64" s="264"/>
      <c r="U64" s="265"/>
      <c r="V64" s="266"/>
      <c r="W64" s="266"/>
      <c r="X64" s="266"/>
      <c r="Y64" s="279"/>
      <c r="Z64" s="280"/>
      <c r="AA64" s="236"/>
      <c r="AB64" s="236"/>
      <c r="AC64" s="236"/>
      <c r="AD64" s="98"/>
    </row>
    <row r="65" ht="15.9" customHeight="1" outlineLevel="1" spans="2:30">
      <c r="B65" s="194" t="s">
        <v>622</v>
      </c>
      <c r="C65" s="64" t="s">
        <v>2285</v>
      </c>
      <c r="D65" s="207"/>
      <c r="E65" s="65"/>
      <c r="F65" s="108"/>
      <c r="G65" s="108"/>
      <c r="H65" s="211"/>
      <c r="I65" s="305" t="e">
        <f>SUM(I66:I72)</f>
        <v>#REF!</v>
      </c>
      <c r="J65" s="305" t="e">
        <f>IF(I65=0,"",IF(#REF!=0,"",I65*10000/#REF!))</f>
        <v>#REF!</v>
      </c>
      <c r="K65" s="236"/>
      <c r="L65" s="237"/>
      <c r="M65" s="238">
        <v>58</v>
      </c>
      <c r="P65" s="232"/>
      <c r="Q65" s="263"/>
      <c r="R65" s="263"/>
      <c r="S65" s="263"/>
      <c r="T65" s="264"/>
      <c r="U65" s="265"/>
      <c r="V65" s="266"/>
      <c r="W65" s="266"/>
      <c r="X65" s="266"/>
      <c r="Y65" s="279"/>
      <c r="Z65" s="280"/>
      <c r="AA65" s="236"/>
      <c r="AB65" s="236"/>
      <c r="AC65" s="236"/>
      <c r="AD65" s="98"/>
    </row>
    <row r="66" ht="15.9" customHeight="1" outlineLevel="2" spans="2:30">
      <c r="B66" s="195"/>
      <c r="C66" s="284" t="s">
        <v>2286</v>
      </c>
      <c r="D66" s="285" t="s">
        <v>505</v>
      </c>
      <c r="E66" s="65">
        <v>1</v>
      </c>
      <c r="F66" s="108" t="s">
        <v>655</v>
      </c>
      <c r="G66" s="108" t="e">
        <f>$D$5</f>
        <v>#REF!</v>
      </c>
      <c r="H66" s="211">
        <v>55</v>
      </c>
      <c r="I66" s="116" t="e">
        <f t="shared" ref="I66:I72" si="20">E66*G66*H66/10000</f>
        <v>#REF!</v>
      </c>
      <c r="J66" s="116" t="s">
        <v>511</v>
      </c>
      <c r="K66" s="236"/>
      <c r="L66" s="237"/>
      <c r="M66" s="238">
        <v>59</v>
      </c>
      <c r="P66" s="232"/>
      <c r="Q66" s="263"/>
      <c r="R66" s="263"/>
      <c r="S66" s="263"/>
      <c r="T66" s="264"/>
      <c r="U66" s="265"/>
      <c r="V66" s="266"/>
      <c r="W66" s="266"/>
      <c r="X66" s="266"/>
      <c r="Y66" s="279"/>
      <c r="Z66" s="280"/>
      <c r="AA66" s="236"/>
      <c r="AB66" s="236"/>
      <c r="AC66" s="236"/>
      <c r="AD66" s="98"/>
    </row>
    <row r="67" ht="15.9" customHeight="1" outlineLevel="3" spans="2:30">
      <c r="B67" s="208"/>
      <c r="C67" s="284" t="s">
        <v>2287</v>
      </c>
      <c r="D67" s="285" t="s">
        <v>505</v>
      </c>
      <c r="E67" s="65">
        <v>1</v>
      </c>
      <c r="F67" s="108" t="s">
        <v>655</v>
      </c>
      <c r="G67" s="108" t="e">
        <f>$D$5</f>
        <v>#REF!</v>
      </c>
      <c r="H67" s="211">
        <v>15</v>
      </c>
      <c r="I67" s="116" t="e">
        <f t="shared" si="20"/>
        <v>#REF!</v>
      </c>
      <c r="J67" s="116"/>
      <c r="K67" s="236"/>
      <c r="L67" s="237"/>
      <c r="M67" s="238">
        <v>60</v>
      </c>
      <c r="P67" s="232"/>
      <c r="Q67" s="263"/>
      <c r="R67" s="263"/>
      <c r="S67" s="263"/>
      <c r="T67" s="264"/>
      <c r="U67" s="265"/>
      <c r="V67" s="266"/>
      <c r="W67" s="266"/>
      <c r="X67" s="266"/>
      <c r="Y67" s="279"/>
      <c r="Z67" s="280"/>
      <c r="AA67" s="236"/>
      <c r="AB67" s="236"/>
      <c r="AC67" s="236"/>
      <c r="AD67" s="98"/>
    </row>
    <row r="68" ht="15.9" customHeight="1" outlineLevel="3" spans="2:30">
      <c r="B68" s="208"/>
      <c r="C68" s="284" t="s">
        <v>2288</v>
      </c>
      <c r="D68" s="285" t="s">
        <v>505</v>
      </c>
      <c r="E68" s="65">
        <v>1</v>
      </c>
      <c r="F68" s="108" t="s">
        <v>655</v>
      </c>
      <c r="G68" s="108" t="e">
        <f>$D$5</f>
        <v>#REF!</v>
      </c>
      <c r="H68" s="211">
        <v>45</v>
      </c>
      <c r="I68" s="116" t="e">
        <f t="shared" si="20"/>
        <v>#REF!</v>
      </c>
      <c r="J68" s="116"/>
      <c r="K68" s="236"/>
      <c r="L68" s="237"/>
      <c r="M68" s="238">
        <v>61</v>
      </c>
      <c r="P68" s="232"/>
      <c r="Q68" s="263"/>
      <c r="R68" s="263"/>
      <c r="S68" s="263"/>
      <c r="T68" s="264"/>
      <c r="U68" s="265"/>
      <c r="V68" s="266"/>
      <c r="W68" s="266"/>
      <c r="X68" s="266"/>
      <c r="Y68" s="279"/>
      <c r="Z68" s="280"/>
      <c r="AA68" s="236"/>
      <c r="AB68" s="236"/>
      <c r="AC68" s="236"/>
      <c r="AD68" s="98"/>
    </row>
    <row r="69" ht="15.9" customHeight="1" outlineLevel="3" spans="2:30">
      <c r="B69" s="208"/>
      <c r="C69" s="284" t="s">
        <v>2289</v>
      </c>
      <c r="D69" s="285" t="s">
        <v>505</v>
      </c>
      <c r="E69" s="65">
        <v>1</v>
      </c>
      <c r="F69" s="108" t="s">
        <v>655</v>
      </c>
      <c r="G69" s="108" t="e">
        <f>$D$5</f>
        <v>#REF!</v>
      </c>
      <c r="H69" s="211">
        <v>2</v>
      </c>
      <c r="I69" s="116" t="e">
        <f t="shared" si="20"/>
        <v>#REF!</v>
      </c>
      <c r="J69" s="116"/>
      <c r="K69" s="236"/>
      <c r="L69" s="237"/>
      <c r="M69" s="238">
        <v>62</v>
      </c>
      <c r="P69" s="232"/>
      <c r="Q69" s="263"/>
      <c r="R69" s="263"/>
      <c r="S69" s="263"/>
      <c r="T69" s="264"/>
      <c r="U69" s="265"/>
      <c r="V69" s="266"/>
      <c r="W69" s="266"/>
      <c r="X69" s="266"/>
      <c r="Y69" s="279"/>
      <c r="Z69" s="280"/>
      <c r="AA69" s="236"/>
      <c r="AB69" s="236"/>
      <c r="AC69" s="236"/>
      <c r="AD69" s="98"/>
    </row>
    <row r="70" ht="15.9" customHeight="1" outlineLevel="3" spans="2:30">
      <c r="B70" s="208"/>
      <c r="C70" s="284" t="s">
        <v>2290</v>
      </c>
      <c r="D70" s="285" t="s">
        <v>505</v>
      </c>
      <c r="E70" s="65">
        <v>1</v>
      </c>
      <c r="F70" s="108" t="s">
        <v>655</v>
      </c>
      <c r="G70" s="108" t="e">
        <f>$D$5</f>
        <v>#REF!</v>
      </c>
      <c r="H70" s="211">
        <v>6</v>
      </c>
      <c r="I70" s="116" t="e">
        <f t="shared" si="20"/>
        <v>#REF!</v>
      </c>
      <c r="J70" s="116"/>
      <c r="K70" s="236"/>
      <c r="L70" s="237"/>
      <c r="M70" s="238">
        <v>63</v>
      </c>
      <c r="P70" s="232"/>
      <c r="Q70" s="263"/>
      <c r="R70" s="263"/>
      <c r="S70" s="263"/>
      <c r="T70" s="264"/>
      <c r="U70" s="265"/>
      <c r="V70" s="266"/>
      <c r="W70" s="266"/>
      <c r="X70" s="266"/>
      <c r="Y70" s="279"/>
      <c r="Z70" s="280"/>
      <c r="AA70" s="236"/>
      <c r="AB70" s="236"/>
      <c r="AC70" s="236"/>
      <c r="AD70" s="98"/>
    </row>
    <row r="71" ht="15.9" customHeight="1" outlineLevel="3" spans="2:30">
      <c r="B71" s="208"/>
      <c r="C71" s="284" t="s">
        <v>2358</v>
      </c>
      <c r="D71" s="285" t="s">
        <v>601</v>
      </c>
      <c r="E71" s="65">
        <v>1</v>
      </c>
      <c r="F71" s="108" t="s">
        <v>1681</v>
      </c>
      <c r="G71" s="108" t="e">
        <f>$I$5</f>
        <v>#REF!</v>
      </c>
      <c r="H71" s="112">
        <f>HLOOKUP(L71,$U$8:$Y$173,M71,FALSE)</f>
        <v>0</v>
      </c>
      <c r="I71" s="116" t="e">
        <f t="shared" si="20"/>
        <v>#REF!</v>
      </c>
      <c r="J71" s="116"/>
      <c r="K71" s="236"/>
      <c r="L71" s="222" t="str">
        <f>$I$2</f>
        <v>C</v>
      </c>
      <c r="M71" s="238">
        <v>64</v>
      </c>
      <c r="P71" s="232"/>
      <c r="Q71" s="263"/>
      <c r="R71" s="263"/>
      <c r="S71" s="263"/>
      <c r="T71" s="264"/>
      <c r="U71" s="265"/>
      <c r="V71" s="266"/>
      <c r="W71" s="266"/>
      <c r="X71" s="266"/>
      <c r="Y71" s="279"/>
      <c r="Z71" s="280"/>
      <c r="AA71" s="236"/>
      <c r="AB71" s="236"/>
      <c r="AC71" s="236"/>
      <c r="AD71" s="98"/>
    </row>
    <row r="72" ht="15.9" customHeight="1" outlineLevel="3" spans="2:30">
      <c r="B72" s="208"/>
      <c r="C72" s="284" t="s">
        <v>2418</v>
      </c>
      <c r="D72" s="285" t="s">
        <v>601</v>
      </c>
      <c r="E72" s="65">
        <v>1</v>
      </c>
      <c r="F72" s="108" t="s">
        <v>1681</v>
      </c>
      <c r="G72" s="108" t="e">
        <f>$I$5</f>
        <v>#REF!</v>
      </c>
      <c r="H72" s="108">
        <f>350</f>
        <v>350</v>
      </c>
      <c r="I72" s="116" t="e">
        <f t="shared" si="20"/>
        <v>#REF!</v>
      </c>
      <c r="J72" s="116"/>
      <c r="K72" s="236"/>
      <c r="L72" s="222" t="str">
        <f>$I$2</f>
        <v>C</v>
      </c>
      <c r="M72" s="238">
        <v>65</v>
      </c>
      <c r="P72" s="232"/>
      <c r="Q72" s="263"/>
      <c r="R72" s="263"/>
      <c r="S72" s="263"/>
      <c r="T72" s="264"/>
      <c r="U72" s="265"/>
      <c r="V72" s="266"/>
      <c r="W72" s="266"/>
      <c r="X72" s="266">
        <v>400</v>
      </c>
      <c r="Y72" s="279"/>
      <c r="Z72" s="280"/>
      <c r="AA72" s="236"/>
      <c r="AB72" s="236"/>
      <c r="AC72" s="236"/>
      <c r="AD72" s="98"/>
    </row>
    <row r="73" ht="15.9" customHeight="1" spans="2:30">
      <c r="B73" s="1831" t="s">
        <v>2257</v>
      </c>
      <c r="C73" s="121" t="s">
        <v>2291</v>
      </c>
      <c r="D73" s="193"/>
      <c r="E73" s="193"/>
      <c r="F73" s="155"/>
      <c r="G73" s="155"/>
      <c r="H73" s="155"/>
      <c r="I73" s="156" t="e">
        <f>I74+I76+I80</f>
        <v>#REF!</v>
      </c>
      <c r="J73" s="156" t="e">
        <f>IF(I73=0,"",IF(#REF!=0,"",I73*10000/#REF!))</f>
        <v>#REF!</v>
      </c>
      <c r="K73" s="233"/>
      <c r="L73" s="234"/>
      <c r="M73" s="238">
        <v>66</v>
      </c>
      <c r="P73" s="232"/>
      <c r="Q73" s="263"/>
      <c r="R73" s="263"/>
      <c r="S73" s="263"/>
      <c r="T73" s="264"/>
      <c r="U73" s="265"/>
      <c r="V73" s="266"/>
      <c r="W73" s="266"/>
      <c r="X73" s="266"/>
      <c r="Y73" s="279"/>
      <c r="Z73" s="280"/>
      <c r="AA73" s="236"/>
      <c r="AB73" s="236"/>
      <c r="AC73" s="236"/>
      <c r="AD73" s="98"/>
    </row>
    <row r="74" ht="15.9" customHeight="1" outlineLevel="1" spans="2:30">
      <c r="B74" s="194" t="s">
        <v>622</v>
      </c>
      <c r="C74" s="64" t="s">
        <v>2419</v>
      </c>
      <c r="D74" s="286"/>
      <c r="E74" s="286"/>
      <c r="F74" s="287"/>
      <c r="G74" s="287"/>
      <c r="H74" s="287"/>
      <c r="I74" s="235">
        <f>SUM(I75)</f>
        <v>0</v>
      </c>
      <c r="J74" s="235" t="s">
        <v>511</v>
      </c>
      <c r="K74" s="236"/>
      <c r="L74" s="237"/>
      <c r="M74" s="238">
        <v>67</v>
      </c>
      <c r="P74" s="232"/>
      <c r="Q74" s="263"/>
      <c r="R74" s="263"/>
      <c r="S74" s="263"/>
      <c r="T74" s="264"/>
      <c r="U74" s="265"/>
      <c r="V74" s="266"/>
      <c r="W74" s="266"/>
      <c r="X74" s="266"/>
      <c r="Y74" s="279"/>
      <c r="Z74" s="280"/>
      <c r="AA74" s="236"/>
      <c r="AB74" s="236"/>
      <c r="AC74" s="236"/>
      <c r="AD74" s="98"/>
    </row>
    <row r="75" ht="15.9" customHeight="1" outlineLevel="2" spans="2:30">
      <c r="B75" s="194"/>
      <c r="C75" s="107" t="s">
        <v>2420</v>
      </c>
      <c r="D75" s="65" t="s">
        <v>665</v>
      </c>
      <c r="E75" s="286"/>
      <c r="F75" s="108" t="s">
        <v>1015</v>
      </c>
      <c r="G75" s="108"/>
      <c r="H75" s="112"/>
      <c r="I75" s="306">
        <f t="shared" ref="I75:I78" si="21">E75*G75*H75/10000</f>
        <v>0</v>
      </c>
      <c r="J75" s="306"/>
      <c r="K75" s="236"/>
      <c r="L75" s="237"/>
      <c r="M75" s="238">
        <v>68</v>
      </c>
      <c r="P75" s="232"/>
      <c r="Q75" s="263"/>
      <c r="R75" s="263"/>
      <c r="S75" s="263"/>
      <c r="T75" s="264"/>
      <c r="U75" s="265"/>
      <c r="V75" s="266"/>
      <c r="W75" s="266"/>
      <c r="X75" s="266"/>
      <c r="Y75" s="279"/>
      <c r="Z75" s="280"/>
      <c r="AA75" s="236"/>
      <c r="AB75" s="236"/>
      <c r="AC75" s="236"/>
      <c r="AD75" s="98"/>
    </row>
    <row r="76" ht="15.9" customHeight="1" outlineLevel="1" spans="2:30">
      <c r="B76" s="194" t="s">
        <v>622</v>
      </c>
      <c r="C76" s="64" t="s">
        <v>2293</v>
      </c>
      <c r="D76" s="65"/>
      <c r="E76" s="65"/>
      <c r="F76" s="108"/>
      <c r="G76" s="108"/>
      <c r="H76" s="108"/>
      <c r="I76" s="235" t="e">
        <f>SUM(I77:I78)</f>
        <v>#REF!</v>
      </c>
      <c r="J76" s="235" t="e">
        <f>IF(I76=0,"",IF(#REF!=0,"",I76*10000/#REF!))</f>
        <v>#REF!</v>
      </c>
      <c r="K76" s="236"/>
      <c r="L76" s="237"/>
      <c r="M76" s="238">
        <v>69</v>
      </c>
      <c r="P76" s="232"/>
      <c r="Q76" s="263"/>
      <c r="R76" s="263"/>
      <c r="S76" s="263"/>
      <c r="T76" s="264"/>
      <c r="U76" s="265"/>
      <c r="V76" s="266"/>
      <c r="W76" s="266"/>
      <c r="X76" s="266"/>
      <c r="Y76" s="279"/>
      <c r="Z76" s="280"/>
      <c r="AA76" s="236"/>
      <c r="AB76" s="236"/>
      <c r="AC76" s="236"/>
      <c r="AD76" s="98"/>
    </row>
    <row r="77" ht="15.9" customHeight="1" outlineLevel="2" spans="2:30">
      <c r="B77" s="195"/>
      <c r="C77" s="107" t="s">
        <v>2509</v>
      </c>
      <c r="D77" s="65" t="s">
        <v>602</v>
      </c>
      <c r="E77" s="288" t="e">
        <f>F4</f>
        <v>#REF!</v>
      </c>
      <c r="F77" s="108" t="s">
        <v>1690</v>
      </c>
      <c r="G77" s="108">
        <v>2</v>
      </c>
      <c r="H77" s="108">
        <v>320000</v>
      </c>
      <c r="I77" s="306" t="e">
        <f t="shared" si="21"/>
        <v>#REF!</v>
      </c>
      <c r="J77" s="306"/>
      <c r="K77" s="236" t="s">
        <v>2422</v>
      </c>
      <c r="L77" s="222" t="str">
        <f>$I$2</f>
        <v>C</v>
      </c>
      <c r="M77" s="238">
        <v>70</v>
      </c>
      <c r="P77" s="232"/>
      <c r="Q77" s="263"/>
      <c r="R77" s="263"/>
      <c r="S77" s="263"/>
      <c r="T77" s="264"/>
      <c r="U77" s="265"/>
      <c r="V77" s="266"/>
      <c r="W77" s="266"/>
      <c r="X77" s="266">
        <v>410000</v>
      </c>
      <c r="Y77" s="279"/>
      <c r="Z77" s="280"/>
      <c r="AA77" s="236"/>
      <c r="AB77" s="236"/>
      <c r="AC77" s="236"/>
      <c r="AD77" s="98"/>
    </row>
    <row r="78" ht="15.9" customHeight="1" outlineLevel="2" spans="2:30">
      <c r="B78" s="195"/>
      <c r="C78" s="107" t="s">
        <v>2510</v>
      </c>
      <c r="D78" s="65" t="s">
        <v>602</v>
      </c>
      <c r="E78" s="288" t="e">
        <f>F4</f>
        <v>#REF!</v>
      </c>
      <c r="F78" s="108" t="s">
        <v>1690</v>
      </c>
      <c r="G78" s="108">
        <v>1</v>
      </c>
      <c r="H78" s="108">
        <v>350000</v>
      </c>
      <c r="I78" s="306" t="e">
        <f t="shared" si="21"/>
        <v>#REF!</v>
      </c>
      <c r="J78" s="306"/>
      <c r="K78" s="236"/>
      <c r="L78" s="222"/>
      <c r="M78" s="238">
        <v>71</v>
      </c>
      <c r="P78" s="232"/>
      <c r="Q78" s="263"/>
      <c r="R78" s="263"/>
      <c r="S78" s="263"/>
      <c r="T78" s="264"/>
      <c r="U78" s="265"/>
      <c r="V78" s="266"/>
      <c r="W78" s="266"/>
      <c r="X78" s="266"/>
      <c r="Y78" s="279"/>
      <c r="Z78" s="280"/>
      <c r="AA78" s="236"/>
      <c r="AB78" s="236"/>
      <c r="AC78" s="236"/>
      <c r="AD78" s="98"/>
    </row>
    <row r="79" ht="15.9" customHeight="1" outlineLevel="1" spans="2:30">
      <c r="B79" s="194" t="s">
        <v>622</v>
      </c>
      <c r="C79" s="64" t="s">
        <v>2294</v>
      </c>
      <c r="D79" s="65"/>
      <c r="E79" s="65"/>
      <c r="F79" s="108"/>
      <c r="G79" s="108"/>
      <c r="H79" s="108"/>
      <c r="I79" s="306"/>
      <c r="J79" s="306" t="str">
        <f>IF(I79=0,"",IF(#REF!=0,"",I79*10000/#REF!))</f>
        <v/>
      </c>
      <c r="K79" s="236"/>
      <c r="L79" s="237"/>
      <c r="M79" s="238">
        <v>72</v>
      </c>
      <c r="P79" s="232"/>
      <c r="Q79" s="263"/>
      <c r="R79" s="263"/>
      <c r="S79" s="263"/>
      <c r="T79" s="264"/>
      <c r="U79" s="265"/>
      <c r="V79" s="266"/>
      <c r="W79" s="266"/>
      <c r="X79" s="266"/>
      <c r="Y79" s="279"/>
      <c r="Z79" s="280"/>
      <c r="AA79" s="236"/>
      <c r="AB79" s="236"/>
      <c r="AC79" s="236"/>
      <c r="AD79" s="98"/>
    </row>
    <row r="80" ht="15.9" customHeight="1" outlineLevel="1" spans="2:30">
      <c r="B80" s="194" t="s">
        <v>622</v>
      </c>
      <c r="C80" s="64" t="s">
        <v>2295</v>
      </c>
      <c r="D80" s="65" t="s">
        <v>665</v>
      </c>
      <c r="E80" s="65"/>
      <c r="F80" s="108"/>
      <c r="G80" s="108"/>
      <c r="H80" s="108"/>
      <c r="I80" s="306" t="e">
        <f>I81</f>
        <v>#REF!</v>
      </c>
      <c r="J80" s="306" t="e">
        <f>IF(I80=0,"",IF(#REF!=0,"",I80*10000/#REF!))</f>
        <v>#REF!</v>
      </c>
      <c r="K80" s="236"/>
      <c r="L80" s="237"/>
      <c r="M80" s="238">
        <v>73</v>
      </c>
      <c r="P80" s="232"/>
      <c r="Q80" s="263"/>
      <c r="R80" s="263"/>
      <c r="S80" s="263"/>
      <c r="T80" s="264"/>
      <c r="U80" s="265"/>
      <c r="V80" s="266"/>
      <c r="W80" s="266"/>
      <c r="X80" s="266"/>
      <c r="Y80" s="279"/>
      <c r="Z80" s="280"/>
      <c r="AA80" s="236"/>
      <c r="AB80" s="236"/>
      <c r="AC80" s="236"/>
      <c r="AD80" s="98"/>
    </row>
    <row r="81" ht="15.9" customHeight="1" outlineLevel="3" spans="2:30">
      <c r="B81" s="195"/>
      <c r="C81" s="107" t="s">
        <v>2423</v>
      </c>
      <c r="D81" s="65" t="s">
        <v>665</v>
      </c>
      <c r="E81" s="65">
        <v>1</v>
      </c>
      <c r="F81" s="108" t="s">
        <v>1015</v>
      </c>
      <c r="G81" s="108" t="e">
        <f>$D$5</f>
        <v>#REF!</v>
      </c>
      <c r="H81" s="108">
        <v>100</v>
      </c>
      <c r="I81" s="306" t="e">
        <f>E81*G81*H81/10000</f>
        <v>#REF!</v>
      </c>
      <c r="J81" s="306"/>
      <c r="K81" s="236"/>
      <c r="L81" s="222" t="str">
        <f>$I$2</f>
        <v>C</v>
      </c>
      <c r="M81" s="238">
        <v>74</v>
      </c>
      <c r="P81" s="232"/>
      <c r="Q81" s="263"/>
      <c r="R81" s="263"/>
      <c r="S81" s="263"/>
      <c r="T81" s="264"/>
      <c r="U81" s="265"/>
      <c r="V81" s="266"/>
      <c r="W81" s="266"/>
      <c r="X81" s="266">
        <v>45</v>
      </c>
      <c r="Y81" s="279"/>
      <c r="Z81" s="280"/>
      <c r="AA81" s="236"/>
      <c r="AB81" s="236"/>
      <c r="AC81" s="236"/>
      <c r="AD81" s="98"/>
    </row>
    <row r="82" ht="15.9" customHeight="1" outlineLevel="1" spans="2:30">
      <c r="B82" s="194" t="s">
        <v>622</v>
      </c>
      <c r="C82" s="64" t="s">
        <v>933</v>
      </c>
      <c r="D82" s="65"/>
      <c r="E82" s="65"/>
      <c r="F82" s="108"/>
      <c r="G82" s="108"/>
      <c r="H82" s="108"/>
      <c r="I82" s="306"/>
      <c r="J82" s="306" t="str">
        <f>IF(I82=0,"",IF(#REF!=0,"",I82*10000/#REF!))</f>
        <v/>
      </c>
      <c r="K82" s="236"/>
      <c r="L82" s="237"/>
      <c r="M82" s="238">
        <v>75</v>
      </c>
      <c r="P82" s="232"/>
      <c r="Q82" s="263"/>
      <c r="R82" s="263"/>
      <c r="S82" s="263"/>
      <c r="T82" s="264"/>
      <c r="U82" s="265"/>
      <c r="V82" s="266"/>
      <c r="W82" s="266"/>
      <c r="X82" s="266"/>
      <c r="Y82" s="279"/>
      <c r="Z82" s="280"/>
      <c r="AA82" s="236"/>
      <c r="AB82" s="236"/>
      <c r="AC82" s="236"/>
      <c r="AD82" s="98"/>
    </row>
    <row r="83" ht="15.9" customHeight="1" spans="2:30">
      <c r="B83" s="102" t="s">
        <v>547</v>
      </c>
      <c r="C83" s="103" t="s">
        <v>2296</v>
      </c>
      <c r="D83" s="192"/>
      <c r="E83" s="192"/>
      <c r="F83" s="206"/>
      <c r="G83" s="206"/>
      <c r="H83" s="206"/>
      <c r="I83" s="150" t="e">
        <f>I84+I118+I143+I147+I158</f>
        <v>#REF!</v>
      </c>
      <c r="J83" s="150" t="e">
        <f>IF(I83=0,"",IF(#REF!=0,"",I83*10000/#REF!))</f>
        <v>#REF!</v>
      </c>
      <c r="K83" s="251"/>
      <c r="L83" s="231"/>
      <c r="M83" s="238">
        <v>76</v>
      </c>
      <c r="P83" s="232"/>
      <c r="Q83" s="263"/>
      <c r="R83" s="263"/>
      <c r="S83" s="263"/>
      <c r="T83" s="264"/>
      <c r="U83" s="265"/>
      <c r="V83" s="266"/>
      <c r="W83" s="266"/>
      <c r="X83" s="266"/>
      <c r="Y83" s="279"/>
      <c r="Z83" s="280"/>
      <c r="AA83" s="236"/>
      <c r="AB83" s="236"/>
      <c r="AC83" s="236"/>
      <c r="AD83" s="98"/>
    </row>
    <row r="84" ht="15.9" customHeight="1" spans="2:30">
      <c r="B84" s="120">
        <v>1</v>
      </c>
      <c r="C84" s="121" t="s">
        <v>550</v>
      </c>
      <c r="D84" s="193"/>
      <c r="E84" s="193"/>
      <c r="F84" s="155"/>
      <c r="G84" s="155"/>
      <c r="H84" s="155"/>
      <c r="I84" s="156" t="e">
        <f>I85+I94+I103+I112</f>
        <v>#REF!</v>
      </c>
      <c r="J84" s="156" t="e">
        <f>IF(I84=0,"",IF(#REF!=0,"",I84*10000/#REF!))</f>
        <v>#REF!</v>
      </c>
      <c r="K84" s="233"/>
      <c r="L84" s="234"/>
      <c r="M84" s="238">
        <v>77</v>
      </c>
      <c r="P84" s="232"/>
      <c r="Q84" s="263"/>
      <c r="R84" s="263"/>
      <c r="S84" s="263"/>
      <c r="T84" s="264"/>
      <c r="U84" s="265"/>
      <c r="V84" s="266"/>
      <c r="W84" s="266"/>
      <c r="X84" s="266"/>
      <c r="Y84" s="279"/>
      <c r="Z84" s="280"/>
      <c r="AA84" s="236"/>
      <c r="AB84" s="236"/>
      <c r="AC84" s="236"/>
      <c r="AD84" s="98"/>
    </row>
    <row r="85" ht="15.9" customHeight="1" outlineLevel="1" spans="2:30">
      <c r="B85" s="125" t="s">
        <v>619</v>
      </c>
      <c r="C85" s="289" t="s">
        <v>2297</v>
      </c>
      <c r="D85" s="290"/>
      <c r="E85" s="291"/>
      <c r="F85" s="292"/>
      <c r="G85" s="292"/>
      <c r="H85" s="293"/>
      <c r="I85" s="307" t="e">
        <f>SUM(I86:I93)</f>
        <v>#REF!</v>
      </c>
      <c r="J85" s="307" t="e">
        <f>IF(I85=0,"",IF(#REF!=0,"",I85*10000/#REF!))</f>
        <v>#REF!</v>
      </c>
      <c r="K85" s="308"/>
      <c r="L85" s="237"/>
      <c r="M85" s="238">
        <v>78</v>
      </c>
      <c r="P85" s="232"/>
      <c r="Q85" s="263"/>
      <c r="R85" s="263"/>
      <c r="S85" s="263"/>
      <c r="T85" s="264"/>
      <c r="U85" s="265"/>
      <c r="V85" s="266"/>
      <c r="W85" s="266"/>
      <c r="X85" s="266"/>
      <c r="Y85" s="279"/>
      <c r="Z85" s="280"/>
      <c r="AA85" s="236"/>
      <c r="AB85" s="236"/>
      <c r="AC85" s="236"/>
      <c r="AD85" s="98"/>
    </row>
    <row r="86" ht="15.9" customHeight="1" outlineLevel="2" spans="2:30">
      <c r="B86" s="194" t="s">
        <v>622</v>
      </c>
      <c r="C86" s="107" t="s">
        <v>2298</v>
      </c>
      <c r="D86" s="65" t="s">
        <v>665</v>
      </c>
      <c r="E86" s="294">
        <f>HLOOKUP(L86,$P$8:$T$173,M86,FALSE)</f>
        <v>0.6</v>
      </c>
      <c r="F86" s="108" t="s">
        <v>1015</v>
      </c>
      <c r="G86" s="108" t="e">
        <f>$D$5</f>
        <v>#REF!</v>
      </c>
      <c r="H86" s="108">
        <v>80</v>
      </c>
      <c r="I86" s="116" t="e">
        <f t="shared" ref="I86:I93" si="22">E86*G86*H86/10000</f>
        <v>#REF!</v>
      </c>
      <c r="J86" s="116" t="e">
        <f>IF(I86=0,"",IF(#REF!=0,"",I86*10000/#REF!))</f>
        <v>#REF!</v>
      </c>
      <c r="K86" s="236"/>
      <c r="L86" s="222" t="str">
        <f t="shared" ref="L86:L93" si="23">$I$2</f>
        <v>C</v>
      </c>
      <c r="M86" s="238">
        <v>79</v>
      </c>
      <c r="P86" s="232"/>
      <c r="Q86" s="263"/>
      <c r="R86" s="263"/>
      <c r="S86" s="248">
        <v>0.6</v>
      </c>
      <c r="T86" s="247">
        <v>0.3</v>
      </c>
      <c r="U86" s="265"/>
      <c r="V86" s="266"/>
      <c r="W86" s="266"/>
      <c r="X86" s="266">
        <v>30</v>
      </c>
      <c r="Y86" s="279">
        <v>30</v>
      </c>
      <c r="Z86" s="280"/>
      <c r="AA86" s="236"/>
      <c r="AB86" s="236"/>
      <c r="AC86" s="236"/>
      <c r="AD86" s="98"/>
    </row>
    <row r="87" ht="15.9" customHeight="1" outlineLevel="2" spans="2:30">
      <c r="B87" s="194" t="s">
        <v>622</v>
      </c>
      <c r="C87" s="107" t="s">
        <v>2299</v>
      </c>
      <c r="D87" s="65" t="s">
        <v>665</v>
      </c>
      <c r="E87" s="295">
        <f>E47-E88</f>
        <v>0.3</v>
      </c>
      <c r="F87" s="108" t="s">
        <v>1015</v>
      </c>
      <c r="G87" s="108" t="e">
        <f>$D$5</f>
        <v>#REF!</v>
      </c>
      <c r="H87" s="108">
        <v>40</v>
      </c>
      <c r="I87" s="116" t="e">
        <f t="shared" si="22"/>
        <v>#REF!</v>
      </c>
      <c r="J87" s="116" t="e">
        <f>IF(I87=0,"",IF(#REF!=0,"",I87*10000/#REF!))</f>
        <v>#REF!</v>
      </c>
      <c r="K87" s="236"/>
      <c r="L87" s="222" t="str">
        <f t="shared" si="23"/>
        <v>C</v>
      </c>
      <c r="M87" s="238">
        <v>80</v>
      </c>
      <c r="P87" s="232"/>
      <c r="Q87" s="263"/>
      <c r="R87" s="263"/>
      <c r="S87" s="248">
        <v>0.9</v>
      </c>
      <c r="T87" s="247">
        <v>1.1</v>
      </c>
      <c r="U87" s="265"/>
      <c r="V87" s="266"/>
      <c r="W87" s="266"/>
      <c r="X87" s="266">
        <v>20</v>
      </c>
      <c r="Y87" s="279">
        <v>20</v>
      </c>
      <c r="Z87" s="280"/>
      <c r="AA87" s="236"/>
      <c r="AB87" s="236"/>
      <c r="AC87" s="236"/>
      <c r="AD87" s="98"/>
    </row>
    <row r="88" ht="15.9" customHeight="1" outlineLevel="2" spans="2:30">
      <c r="B88" s="194" t="s">
        <v>622</v>
      </c>
      <c r="C88" s="107" t="s">
        <v>2300</v>
      </c>
      <c r="D88" s="65" t="s">
        <v>665</v>
      </c>
      <c r="E88" s="295">
        <v>0.3</v>
      </c>
      <c r="F88" s="108" t="s">
        <v>1015</v>
      </c>
      <c r="G88" s="108" t="e">
        <f>$D$5</f>
        <v>#REF!</v>
      </c>
      <c r="H88" s="108">
        <v>100</v>
      </c>
      <c r="I88" s="116" t="e">
        <f t="shared" si="22"/>
        <v>#REF!</v>
      </c>
      <c r="J88" s="116" t="e">
        <f>IF(I88=0,"",IF(#REF!=0,"",I88*10000/#REF!))</f>
        <v>#REF!</v>
      </c>
      <c r="K88" s="236"/>
      <c r="L88" s="222" t="str">
        <f t="shared" si="23"/>
        <v>C</v>
      </c>
      <c r="M88" s="238">
        <v>81</v>
      </c>
      <c r="P88" s="232"/>
      <c r="Q88" s="263"/>
      <c r="R88" s="263"/>
      <c r="S88" s="248"/>
      <c r="T88" s="264"/>
      <c r="U88" s="265"/>
      <c r="V88" s="266"/>
      <c r="W88" s="266"/>
      <c r="X88" s="266">
        <v>100</v>
      </c>
      <c r="Y88" s="279">
        <v>100</v>
      </c>
      <c r="Z88" s="280"/>
      <c r="AA88" s="236"/>
      <c r="AB88" s="236"/>
      <c r="AC88" s="236"/>
      <c r="AD88" s="98"/>
    </row>
    <row r="89" ht="15.9" customHeight="1" outlineLevel="2" spans="2:30">
      <c r="B89" s="194" t="s">
        <v>622</v>
      </c>
      <c r="C89" s="107" t="s">
        <v>2301</v>
      </c>
      <c r="D89" s="65" t="s">
        <v>665</v>
      </c>
      <c r="E89" s="296">
        <f>HLOOKUP(L89,$P$8:$T$173,M89,FALSE)</f>
        <v>0</v>
      </c>
      <c r="F89" s="108" t="s">
        <v>1015</v>
      </c>
      <c r="G89" s="108" t="e">
        <f>$D$5</f>
        <v>#REF!</v>
      </c>
      <c r="H89" s="108">
        <f t="shared" ref="H89:H92" si="24">HLOOKUP(L89,$U$8:$Y$173,M89,FALSE)</f>
        <v>560</v>
      </c>
      <c r="I89" s="116" t="e">
        <f t="shared" si="22"/>
        <v>#REF!</v>
      </c>
      <c r="J89" s="116"/>
      <c r="K89" s="236"/>
      <c r="L89" s="222" t="str">
        <f t="shared" si="23"/>
        <v>C</v>
      </c>
      <c r="M89" s="238">
        <v>82</v>
      </c>
      <c r="P89" s="232"/>
      <c r="Q89" s="263"/>
      <c r="R89" s="263"/>
      <c r="S89" s="248"/>
      <c r="T89" s="264">
        <v>0</v>
      </c>
      <c r="U89" s="265"/>
      <c r="V89" s="266"/>
      <c r="W89" s="266"/>
      <c r="X89" s="266">
        <v>560</v>
      </c>
      <c r="Y89" s="279">
        <v>560</v>
      </c>
      <c r="Z89" s="280"/>
      <c r="AA89" s="236"/>
      <c r="AB89" s="236"/>
      <c r="AC89" s="236"/>
      <c r="AD89" s="98"/>
    </row>
    <row r="90" ht="15.9" customHeight="1" outlineLevel="2" spans="2:30">
      <c r="B90" s="194" t="s">
        <v>622</v>
      </c>
      <c r="C90" s="107" t="s">
        <v>2302</v>
      </c>
      <c r="D90" s="65" t="s">
        <v>2408</v>
      </c>
      <c r="E90" s="203"/>
      <c r="F90" s="108" t="s">
        <v>1785</v>
      </c>
      <c r="G90" s="108"/>
      <c r="H90" s="108">
        <f t="shared" si="24"/>
        <v>0</v>
      </c>
      <c r="I90" s="116">
        <f t="shared" si="22"/>
        <v>0</v>
      </c>
      <c r="J90" s="116"/>
      <c r="K90" s="236" t="s">
        <v>2422</v>
      </c>
      <c r="L90" s="222" t="str">
        <f t="shared" si="23"/>
        <v>C</v>
      </c>
      <c r="M90" s="238">
        <v>83</v>
      </c>
      <c r="P90" s="232"/>
      <c r="Q90" s="263"/>
      <c r="R90" s="263"/>
      <c r="S90" s="263"/>
      <c r="T90" s="264"/>
      <c r="U90" s="265"/>
      <c r="V90" s="266"/>
      <c r="W90" s="266"/>
      <c r="X90" s="266"/>
      <c r="Y90" s="279"/>
      <c r="Z90" s="280"/>
      <c r="AA90" s="236"/>
      <c r="AB90" s="236"/>
      <c r="AC90" s="236"/>
      <c r="AD90" s="98"/>
    </row>
    <row r="91" ht="15.9" customHeight="1" outlineLevel="2" spans="2:30">
      <c r="B91" s="194" t="s">
        <v>622</v>
      </c>
      <c r="C91" s="107" t="s">
        <v>2303</v>
      </c>
      <c r="D91" s="65" t="s">
        <v>665</v>
      </c>
      <c r="E91" s="203"/>
      <c r="F91" s="108" t="s">
        <v>1546</v>
      </c>
      <c r="G91" s="108" t="e">
        <f>$D$5</f>
        <v>#REF!</v>
      </c>
      <c r="H91" s="108">
        <f t="shared" si="24"/>
        <v>0</v>
      </c>
      <c r="I91" s="116" t="e">
        <f t="shared" si="22"/>
        <v>#REF!</v>
      </c>
      <c r="J91" s="116"/>
      <c r="K91" s="236" t="s">
        <v>2422</v>
      </c>
      <c r="L91" s="222" t="str">
        <f t="shared" si="23"/>
        <v>C</v>
      </c>
      <c r="M91" s="238">
        <v>84</v>
      </c>
      <c r="P91" s="232"/>
      <c r="Q91" s="263"/>
      <c r="R91" s="263"/>
      <c r="S91" s="263"/>
      <c r="T91" s="264"/>
      <c r="U91" s="265"/>
      <c r="V91" s="266"/>
      <c r="W91" s="266"/>
      <c r="X91" s="266"/>
      <c r="Y91" s="279"/>
      <c r="Z91" s="280"/>
      <c r="AA91" s="236"/>
      <c r="AB91" s="236"/>
      <c r="AC91" s="236"/>
      <c r="AD91" s="98"/>
    </row>
    <row r="92" ht="15.9" customHeight="1" outlineLevel="2" spans="2:30">
      <c r="B92" s="194" t="s">
        <v>622</v>
      </c>
      <c r="C92" s="107" t="s">
        <v>2304</v>
      </c>
      <c r="D92" s="65" t="s">
        <v>665</v>
      </c>
      <c r="E92" s="203"/>
      <c r="F92" s="108" t="s">
        <v>1015</v>
      </c>
      <c r="G92" s="108" t="e">
        <f>$D$5</f>
        <v>#REF!</v>
      </c>
      <c r="H92" s="108">
        <f t="shared" si="24"/>
        <v>300</v>
      </c>
      <c r="I92" s="116" t="e">
        <f t="shared" si="22"/>
        <v>#REF!</v>
      </c>
      <c r="J92" s="116"/>
      <c r="K92" s="236"/>
      <c r="L92" s="222" t="str">
        <f t="shared" si="23"/>
        <v>C</v>
      </c>
      <c r="M92" s="238">
        <v>85</v>
      </c>
      <c r="P92" s="232"/>
      <c r="Q92" s="263"/>
      <c r="R92" s="263"/>
      <c r="S92" s="263"/>
      <c r="T92" s="264"/>
      <c r="U92" s="265"/>
      <c r="V92" s="266"/>
      <c r="W92" s="266"/>
      <c r="X92" s="266">
        <v>300</v>
      </c>
      <c r="Y92" s="279"/>
      <c r="Z92" s="280"/>
      <c r="AA92" s="236"/>
      <c r="AB92" s="236"/>
      <c r="AC92" s="236"/>
      <c r="AD92" s="98"/>
    </row>
    <row r="93" ht="15.9" customHeight="1" outlineLevel="2" spans="2:30">
      <c r="B93" s="194" t="s">
        <v>622</v>
      </c>
      <c r="C93" s="107" t="s">
        <v>2424</v>
      </c>
      <c r="D93" s="65" t="s">
        <v>2425</v>
      </c>
      <c r="E93" s="108">
        <v>1</v>
      </c>
      <c r="F93" s="297"/>
      <c r="G93" s="108" t="e">
        <f>$F$3</f>
        <v>#REF!</v>
      </c>
      <c r="H93" s="108">
        <v>1000000</v>
      </c>
      <c r="I93" s="116" t="e">
        <f t="shared" si="22"/>
        <v>#REF!</v>
      </c>
      <c r="J93" s="116" t="e">
        <f>IF(I93=0,"",IF(#REF!=0,"",I93*10000/#REF!))</f>
        <v>#REF!</v>
      </c>
      <c r="K93" s="236"/>
      <c r="L93" s="222" t="str">
        <f t="shared" si="23"/>
        <v>C</v>
      </c>
      <c r="M93" s="238">
        <v>86</v>
      </c>
      <c r="P93" s="232"/>
      <c r="Q93" s="263"/>
      <c r="R93" s="263"/>
      <c r="S93" s="263"/>
      <c r="T93" s="264"/>
      <c r="U93" s="265"/>
      <c r="V93" s="266"/>
      <c r="W93" s="266"/>
      <c r="X93" s="266">
        <v>100000</v>
      </c>
      <c r="Y93" s="279"/>
      <c r="Z93" s="280"/>
      <c r="AA93" s="236"/>
      <c r="AB93" s="236"/>
      <c r="AC93" s="236"/>
      <c r="AD93" s="98"/>
    </row>
    <row r="94" ht="15.9" customHeight="1" outlineLevel="1" spans="2:30">
      <c r="B94" s="125" t="s">
        <v>657</v>
      </c>
      <c r="C94" s="289" t="s">
        <v>2306</v>
      </c>
      <c r="D94" s="290"/>
      <c r="E94" s="291"/>
      <c r="F94" s="292"/>
      <c r="G94" s="292"/>
      <c r="H94" s="293"/>
      <c r="I94" s="307" t="e">
        <f>SUM(I95:I102)</f>
        <v>#REF!</v>
      </c>
      <c r="J94" s="307" t="e">
        <f>IF(I94=0,"",IF(#REF!=0,"",I94*10000/#REF!))</f>
        <v>#REF!</v>
      </c>
      <c r="K94" s="308"/>
      <c r="L94" s="237"/>
      <c r="M94" s="238">
        <v>87</v>
      </c>
      <c r="P94" s="232"/>
      <c r="Q94" s="263"/>
      <c r="R94" s="263"/>
      <c r="S94" s="263"/>
      <c r="T94" s="264"/>
      <c r="U94" s="265"/>
      <c r="V94" s="266"/>
      <c r="W94" s="266"/>
      <c r="X94" s="266"/>
      <c r="Y94" s="279"/>
      <c r="Z94" s="280"/>
      <c r="AA94" s="236"/>
      <c r="AB94" s="236"/>
      <c r="AC94" s="236"/>
      <c r="AD94" s="98"/>
    </row>
    <row r="95" ht="15.9" customHeight="1" outlineLevel="2" spans="2:30">
      <c r="B95" s="194" t="s">
        <v>622</v>
      </c>
      <c r="C95" s="107" t="s">
        <v>2426</v>
      </c>
      <c r="D95" s="65" t="s">
        <v>2427</v>
      </c>
      <c r="E95" s="65">
        <f>6*2*2</f>
        <v>24</v>
      </c>
      <c r="F95" s="108" t="s">
        <v>2428</v>
      </c>
      <c r="G95" s="108" t="e">
        <f>$F$5+$F$4</f>
        <v>#REF!</v>
      </c>
      <c r="H95" s="116">
        <v>200</v>
      </c>
      <c r="I95" s="116" t="e">
        <f t="shared" ref="I95:I102" si="25">E95*G95*H95/10000</f>
        <v>#REF!</v>
      </c>
      <c r="J95" s="116"/>
      <c r="K95" s="236" t="s">
        <v>2422</v>
      </c>
      <c r="L95" s="222" t="str">
        <f t="shared" ref="L95:L102" si="26">$I$2</f>
        <v>C</v>
      </c>
      <c r="M95" s="238">
        <v>88</v>
      </c>
      <c r="P95" s="232"/>
      <c r="Q95" s="263"/>
      <c r="R95" s="263"/>
      <c r="S95" s="263"/>
      <c r="T95" s="264"/>
      <c r="U95" s="265"/>
      <c r="V95" s="266"/>
      <c r="W95" s="266">
        <v>60</v>
      </c>
      <c r="X95" s="266">
        <v>60</v>
      </c>
      <c r="Y95" s="279"/>
      <c r="Z95" s="280"/>
      <c r="AA95" s="236"/>
      <c r="AB95" s="236"/>
      <c r="AC95" s="236"/>
      <c r="AD95" s="98"/>
    </row>
    <row r="96" ht="15.9" customHeight="1" outlineLevel="2" spans="2:30">
      <c r="B96" s="194" t="s">
        <v>622</v>
      </c>
      <c r="C96" s="107" t="s">
        <v>2429</v>
      </c>
      <c r="D96" s="65" t="s">
        <v>2408</v>
      </c>
      <c r="E96" s="65">
        <v>3</v>
      </c>
      <c r="F96" s="108" t="s">
        <v>1637</v>
      </c>
      <c r="G96" s="108" t="e">
        <f>$I$5</f>
        <v>#REF!</v>
      </c>
      <c r="H96" s="116">
        <f t="shared" ref="H96:H102" si="27">HLOOKUP(L96,$U$8:$Y$173,M96,FALSE)</f>
        <v>240</v>
      </c>
      <c r="I96" s="116" t="e">
        <f t="shared" si="25"/>
        <v>#REF!</v>
      </c>
      <c r="J96" s="116"/>
      <c r="K96" s="236" t="s">
        <v>2422</v>
      </c>
      <c r="L96" s="222" t="str">
        <f t="shared" si="26"/>
        <v>C</v>
      </c>
      <c r="M96" s="238">
        <v>89</v>
      </c>
      <c r="P96" s="232"/>
      <c r="Q96" s="263"/>
      <c r="R96" s="263"/>
      <c r="S96" s="263"/>
      <c r="T96" s="264"/>
      <c r="U96" s="265"/>
      <c r="V96" s="266"/>
      <c r="W96" s="266">
        <v>380</v>
      </c>
      <c r="X96" s="266">
        <v>240</v>
      </c>
      <c r="Y96" s="279"/>
      <c r="Z96" s="280"/>
      <c r="AA96" s="236"/>
      <c r="AB96" s="236"/>
      <c r="AC96" s="236"/>
      <c r="AD96" s="98"/>
    </row>
    <row r="97" ht="15.9" customHeight="1" outlineLevel="2" spans="2:30">
      <c r="B97" s="194" t="s">
        <v>622</v>
      </c>
      <c r="C97" s="107" t="s">
        <v>2511</v>
      </c>
      <c r="D97" s="65" t="s">
        <v>2431</v>
      </c>
      <c r="E97" s="65"/>
      <c r="F97" s="108" t="s">
        <v>1637</v>
      </c>
      <c r="G97" s="108">
        <v>222</v>
      </c>
      <c r="H97" s="116">
        <f t="shared" si="27"/>
        <v>150</v>
      </c>
      <c r="I97" s="116">
        <f t="shared" si="25"/>
        <v>0</v>
      </c>
      <c r="J97" s="116"/>
      <c r="K97" s="236" t="s">
        <v>2422</v>
      </c>
      <c r="L97" s="222" t="str">
        <f t="shared" si="26"/>
        <v>C</v>
      </c>
      <c r="M97" s="238">
        <v>90</v>
      </c>
      <c r="P97" s="232"/>
      <c r="Q97" s="263"/>
      <c r="R97" s="263"/>
      <c r="S97" s="263"/>
      <c r="T97" s="264"/>
      <c r="U97" s="265"/>
      <c r="V97" s="266"/>
      <c r="W97" s="266">
        <v>150</v>
      </c>
      <c r="X97" s="266">
        <v>150</v>
      </c>
      <c r="Y97" s="279"/>
      <c r="Z97" s="280"/>
      <c r="AA97" s="236"/>
      <c r="AB97" s="236"/>
      <c r="AC97" s="236"/>
      <c r="AD97" s="98"/>
    </row>
    <row r="98" ht="15.9" customHeight="1" outlineLevel="2" spans="2:30">
      <c r="B98" s="194" t="s">
        <v>622</v>
      </c>
      <c r="C98" s="107" t="s">
        <v>2512</v>
      </c>
      <c r="D98" s="65" t="s">
        <v>2431</v>
      </c>
      <c r="E98" s="65"/>
      <c r="F98" s="108" t="s">
        <v>1681</v>
      </c>
      <c r="G98" s="108">
        <f>G97</f>
        <v>222</v>
      </c>
      <c r="H98" s="116">
        <v>300</v>
      </c>
      <c r="I98" s="116">
        <f t="shared" si="25"/>
        <v>0</v>
      </c>
      <c r="J98" s="116"/>
      <c r="K98" s="236" t="s">
        <v>2422</v>
      </c>
      <c r="L98" s="222" t="str">
        <f t="shared" si="26"/>
        <v>C</v>
      </c>
      <c r="M98" s="238">
        <v>91</v>
      </c>
      <c r="P98" s="232"/>
      <c r="Q98" s="263"/>
      <c r="R98" s="263"/>
      <c r="S98" s="263"/>
      <c r="T98" s="264"/>
      <c r="U98" s="265"/>
      <c r="V98" s="266"/>
      <c r="W98" s="266"/>
      <c r="X98" s="266"/>
      <c r="Y98" s="279"/>
      <c r="Z98" s="280"/>
      <c r="AA98" s="236"/>
      <c r="AB98" s="236"/>
      <c r="AC98" s="236"/>
      <c r="AD98" s="98"/>
    </row>
    <row r="99" ht="15.9" customHeight="1" outlineLevel="2" spans="2:30">
      <c r="B99" s="194" t="s">
        <v>622</v>
      </c>
      <c r="C99" s="107" t="s">
        <v>2433</v>
      </c>
      <c r="D99" s="65" t="s">
        <v>2408</v>
      </c>
      <c r="E99" s="108">
        <v>3</v>
      </c>
      <c r="F99" s="108" t="s">
        <v>1637</v>
      </c>
      <c r="G99" s="108" t="e">
        <f>$I$5</f>
        <v>#REF!</v>
      </c>
      <c r="H99" s="116">
        <f t="shared" si="27"/>
        <v>100</v>
      </c>
      <c r="I99" s="116" t="e">
        <f t="shared" si="25"/>
        <v>#REF!</v>
      </c>
      <c r="J99" s="116"/>
      <c r="K99" s="236" t="s">
        <v>2422</v>
      </c>
      <c r="L99" s="222" t="str">
        <f t="shared" si="26"/>
        <v>C</v>
      </c>
      <c r="M99" s="238">
        <v>92</v>
      </c>
      <c r="P99" s="232"/>
      <c r="Q99" s="263"/>
      <c r="R99" s="263"/>
      <c r="S99" s="263"/>
      <c r="T99" s="264"/>
      <c r="U99" s="265"/>
      <c r="V99" s="266"/>
      <c r="W99" s="266">
        <v>100</v>
      </c>
      <c r="X99" s="266">
        <v>100</v>
      </c>
      <c r="Y99" s="279"/>
      <c r="Z99" s="280"/>
      <c r="AA99" s="236"/>
      <c r="AB99" s="236"/>
      <c r="AC99" s="236"/>
      <c r="AD99" s="98"/>
    </row>
    <row r="100" ht="15.9" customHeight="1" outlineLevel="2" spans="2:30">
      <c r="B100" s="194" t="s">
        <v>622</v>
      </c>
      <c r="C100" s="107" t="s">
        <v>2434</v>
      </c>
      <c r="D100" s="65" t="s">
        <v>2408</v>
      </c>
      <c r="E100" s="65">
        <v>3</v>
      </c>
      <c r="F100" s="108" t="s">
        <v>1785</v>
      </c>
      <c r="G100" s="108" t="e">
        <f>$I$5</f>
        <v>#REF!</v>
      </c>
      <c r="H100" s="116">
        <f t="shared" si="27"/>
        <v>180</v>
      </c>
      <c r="I100" s="116" t="e">
        <f t="shared" si="25"/>
        <v>#REF!</v>
      </c>
      <c r="J100" s="116"/>
      <c r="K100" s="236" t="s">
        <v>2422</v>
      </c>
      <c r="L100" s="222" t="str">
        <f t="shared" si="26"/>
        <v>C</v>
      </c>
      <c r="M100" s="238">
        <v>93</v>
      </c>
      <c r="P100" s="232"/>
      <c r="Q100" s="263"/>
      <c r="R100" s="263"/>
      <c r="S100" s="263"/>
      <c r="T100" s="264"/>
      <c r="U100" s="265"/>
      <c r="V100" s="266"/>
      <c r="W100" s="266">
        <v>200</v>
      </c>
      <c r="X100" s="266">
        <v>180</v>
      </c>
      <c r="Y100" s="279"/>
      <c r="Z100" s="280"/>
      <c r="AA100" s="236"/>
      <c r="AB100" s="236"/>
      <c r="AC100" s="236"/>
      <c r="AD100" s="98"/>
    </row>
    <row r="101" ht="15.9" customHeight="1" outlineLevel="2" spans="2:30">
      <c r="B101" s="194" t="s">
        <v>622</v>
      </c>
      <c r="C101" s="107" t="s">
        <v>2435</v>
      </c>
      <c r="D101" s="65" t="s">
        <v>665</v>
      </c>
      <c r="E101" s="108">
        <v>24</v>
      </c>
      <c r="F101" s="108" t="s">
        <v>1015</v>
      </c>
      <c r="G101" s="108" t="e">
        <f>$F$4</f>
        <v>#REF!</v>
      </c>
      <c r="H101" s="116">
        <f t="shared" si="27"/>
        <v>300</v>
      </c>
      <c r="I101" s="116" t="e">
        <f t="shared" si="25"/>
        <v>#REF!</v>
      </c>
      <c r="J101" s="116"/>
      <c r="K101" s="236" t="s">
        <v>2422</v>
      </c>
      <c r="L101" s="222" t="str">
        <f t="shared" si="26"/>
        <v>C</v>
      </c>
      <c r="M101" s="238">
        <v>94</v>
      </c>
      <c r="P101" s="232"/>
      <c r="Q101" s="263"/>
      <c r="R101" s="263"/>
      <c r="S101" s="263"/>
      <c r="T101" s="264"/>
      <c r="U101" s="265"/>
      <c r="V101" s="266"/>
      <c r="W101" s="266">
        <v>300</v>
      </c>
      <c r="X101" s="266">
        <v>300</v>
      </c>
      <c r="Y101" s="279"/>
      <c r="Z101" s="280"/>
      <c r="AA101" s="236"/>
      <c r="AB101" s="236"/>
      <c r="AC101" s="236"/>
      <c r="AD101" s="98"/>
    </row>
    <row r="102" ht="15.9" customHeight="1" outlineLevel="2" spans="2:30">
      <c r="B102" s="194" t="s">
        <v>622</v>
      </c>
      <c r="C102" s="107" t="s">
        <v>2436</v>
      </c>
      <c r="D102" s="65" t="s">
        <v>665</v>
      </c>
      <c r="E102" s="108">
        <v>1</v>
      </c>
      <c r="F102" s="108" t="s">
        <v>1015</v>
      </c>
      <c r="G102" s="108" t="e">
        <f>D5</f>
        <v>#REF!</v>
      </c>
      <c r="H102" s="116">
        <f t="shared" si="27"/>
        <v>2</v>
      </c>
      <c r="I102" s="116" t="e">
        <f t="shared" si="25"/>
        <v>#REF!</v>
      </c>
      <c r="J102" s="116"/>
      <c r="K102" s="236" t="s">
        <v>2422</v>
      </c>
      <c r="L102" s="222" t="str">
        <f t="shared" si="26"/>
        <v>C</v>
      </c>
      <c r="M102" s="238">
        <v>95</v>
      </c>
      <c r="P102" s="232"/>
      <c r="Q102" s="263"/>
      <c r="R102" s="263"/>
      <c r="S102" s="263"/>
      <c r="T102" s="264"/>
      <c r="U102" s="265"/>
      <c r="V102" s="266"/>
      <c r="W102" s="266">
        <v>2.2</v>
      </c>
      <c r="X102" s="266">
        <v>2</v>
      </c>
      <c r="Y102" s="279"/>
      <c r="Z102" s="280"/>
      <c r="AA102" s="236"/>
      <c r="AB102" s="236"/>
      <c r="AC102" s="236"/>
      <c r="AD102" s="98"/>
    </row>
    <row r="103" ht="15.9" customHeight="1" outlineLevel="1" spans="2:30">
      <c r="B103" s="125" t="s">
        <v>762</v>
      </c>
      <c r="C103" s="289" t="s">
        <v>1803</v>
      </c>
      <c r="D103" s="290"/>
      <c r="E103" s="291"/>
      <c r="F103" s="292"/>
      <c r="G103" s="292"/>
      <c r="H103" s="293"/>
      <c r="I103" s="307" t="e">
        <f>I104+I105+I106+I109</f>
        <v>#REF!</v>
      </c>
      <c r="J103" s="307" t="e">
        <f>IF(I103=0,"",IF(#REF!=0,"",I103*10000/#REF!))</f>
        <v>#REF!</v>
      </c>
      <c r="K103" s="308"/>
      <c r="L103" s="237"/>
      <c r="M103" s="238">
        <v>96</v>
      </c>
      <c r="P103" s="232"/>
      <c r="Q103" s="263"/>
      <c r="R103" s="263"/>
      <c r="S103" s="263"/>
      <c r="T103" s="264"/>
      <c r="U103" s="265"/>
      <c r="V103" s="266"/>
      <c r="W103" s="266"/>
      <c r="X103" s="266"/>
      <c r="Y103" s="279"/>
      <c r="Z103" s="280"/>
      <c r="AA103" s="236"/>
      <c r="AB103" s="236"/>
      <c r="AC103" s="236"/>
      <c r="AD103" s="98"/>
    </row>
    <row r="104" ht="15.9" customHeight="1" outlineLevel="1" spans="2:30">
      <c r="B104" s="194" t="s">
        <v>622</v>
      </c>
      <c r="C104" s="64" t="s">
        <v>2437</v>
      </c>
      <c r="D104" s="65" t="s">
        <v>2438</v>
      </c>
      <c r="E104" s="65">
        <f>HLOOKUP(L104,$P$8:$T$173,M104,FALSE)</f>
        <v>3.15</v>
      </c>
      <c r="F104" s="108" t="s">
        <v>1998</v>
      </c>
      <c r="G104" s="203" t="e">
        <f>$F$4</f>
        <v>#REF!</v>
      </c>
      <c r="H104" s="116">
        <f>HLOOKUP(L104,$U$8:$Y$173,M104,FALSE)</f>
        <v>500</v>
      </c>
      <c r="I104" s="198" t="e">
        <f t="shared" ref="I104:I108" si="28">E104*G104*H104/10000</f>
        <v>#REF!</v>
      </c>
      <c r="J104" s="198" t="e">
        <f>IF(I104=0,"",IF(#REF!=0,"",I104*10000/#REF!))</f>
        <v>#REF!</v>
      </c>
      <c r="K104" s="236"/>
      <c r="L104" s="222" t="s">
        <v>2374</v>
      </c>
      <c r="M104" s="238">
        <v>97</v>
      </c>
      <c r="P104" s="232"/>
      <c r="Q104" s="263"/>
      <c r="R104" s="263">
        <v>3.2</v>
      </c>
      <c r="S104" s="263">
        <v>3.15</v>
      </c>
      <c r="T104" s="264">
        <v>3.15</v>
      </c>
      <c r="U104" s="265"/>
      <c r="V104" s="266"/>
      <c r="W104" s="266"/>
      <c r="X104" s="266">
        <v>500</v>
      </c>
      <c r="Y104" s="279">
        <v>500</v>
      </c>
      <c r="Z104" s="280"/>
      <c r="AA104" s="236"/>
      <c r="AB104" s="236"/>
      <c r="AC104" s="236"/>
      <c r="AD104" s="98"/>
    </row>
    <row r="105" ht="15.9" customHeight="1" outlineLevel="1" spans="2:30">
      <c r="B105" s="194" t="s">
        <v>622</v>
      </c>
      <c r="C105" s="64" t="s">
        <v>1808</v>
      </c>
      <c r="D105" s="65" t="s">
        <v>2408</v>
      </c>
      <c r="E105" s="65">
        <f>HLOOKUP(L105,$P$8:$T$173,M105,FALSE)</f>
        <v>2.1</v>
      </c>
      <c r="F105" s="108" t="s">
        <v>1785</v>
      </c>
      <c r="G105" s="203" t="e">
        <f>$I$5</f>
        <v>#REF!</v>
      </c>
      <c r="H105" s="116">
        <v>580</v>
      </c>
      <c r="I105" s="198" t="e">
        <f t="shared" si="28"/>
        <v>#REF!</v>
      </c>
      <c r="J105" s="198" t="e">
        <f>IF(I105=0,"",IF(#REF!=0,"",I105*10000/#REF!))</f>
        <v>#REF!</v>
      </c>
      <c r="K105" s="236"/>
      <c r="L105" s="222" t="s">
        <v>2374</v>
      </c>
      <c r="M105" s="238">
        <v>98</v>
      </c>
      <c r="P105" s="232">
        <f>2.4*1.2</f>
        <v>2.88</v>
      </c>
      <c r="Q105" s="263">
        <f>2.4*1.2</f>
        <v>2.88</v>
      </c>
      <c r="R105" s="263">
        <v>2.1</v>
      </c>
      <c r="S105" s="263">
        <f>2.1*1</f>
        <v>2.1</v>
      </c>
      <c r="T105" s="264">
        <v>2.1</v>
      </c>
      <c r="U105" s="265">
        <v>1050</v>
      </c>
      <c r="V105" s="266">
        <v>630</v>
      </c>
      <c r="W105" s="266">
        <v>630</v>
      </c>
      <c r="X105" s="266">
        <v>600</v>
      </c>
      <c r="Y105" s="279">
        <v>600</v>
      </c>
      <c r="Z105" s="312" t="s">
        <v>2439</v>
      </c>
      <c r="AA105" s="95"/>
      <c r="AB105" s="95"/>
      <c r="AC105" s="95"/>
      <c r="AD105" s="98"/>
    </row>
    <row r="106" ht="15.9" customHeight="1" outlineLevel="1" spans="2:30">
      <c r="B106" s="194" t="s">
        <v>622</v>
      </c>
      <c r="C106" s="298" t="s">
        <v>2307</v>
      </c>
      <c r="D106" s="299"/>
      <c r="E106" s="203"/>
      <c r="F106" s="108"/>
      <c r="G106" s="203"/>
      <c r="H106" s="116"/>
      <c r="I106" s="116" t="e">
        <f>SUM(I107:I108)</f>
        <v>#REF!</v>
      </c>
      <c r="J106" s="198" t="e">
        <f>IF(I106=0,"",IF(#REF!=0,"",I106*10000/#REF!))</f>
        <v>#REF!</v>
      </c>
      <c r="K106" s="236"/>
      <c r="L106" s="237"/>
      <c r="M106" s="238">
        <v>99</v>
      </c>
      <c r="P106" s="232"/>
      <c r="Q106" s="263"/>
      <c r="R106" s="263"/>
      <c r="S106" s="263"/>
      <c r="T106" s="264"/>
      <c r="U106" s="265"/>
      <c r="V106" s="266"/>
      <c r="W106" s="266"/>
      <c r="X106" s="266"/>
      <c r="Y106" s="279"/>
      <c r="Z106" s="280"/>
      <c r="AA106" s="236"/>
      <c r="AB106" s="236"/>
      <c r="AC106" s="236"/>
      <c r="AD106" s="98"/>
    </row>
    <row r="107" ht="15.9" customHeight="1" outlineLevel="2" spans="2:30">
      <c r="B107" s="195"/>
      <c r="C107" s="300" t="s">
        <v>2440</v>
      </c>
      <c r="D107" s="65" t="s">
        <v>1252</v>
      </c>
      <c r="E107" s="203">
        <v>4</v>
      </c>
      <c r="F107" s="108" t="s">
        <v>2441</v>
      </c>
      <c r="G107" s="203" t="e">
        <f>$F$5</f>
        <v>#REF!</v>
      </c>
      <c r="H107" s="116">
        <v>987</v>
      </c>
      <c r="I107" s="198" t="e">
        <f t="shared" si="28"/>
        <v>#REF!</v>
      </c>
      <c r="J107" s="198"/>
      <c r="K107" s="236" t="s">
        <v>2422</v>
      </c>
      <c r="L107" s="222" t="str">
        <f>$I$2</f>
        <v>C</v>
      </c>
      <c r="M107" s="238">
        <v>100</v>
      </c>
      <c r="P107" s="232"/>
      <c r="Q107" s="263"/>
      <c r="R107" s="263"/>
      <c r="S107" s="263"/>
      <c r="T107" s="264"/>
      <c r="U107" s="265">
        <v>1200</v>
      </c>
      <c r="V107" s="266">
        <v>1200</v>
      </c>
      <c r="W107" s="266">
        <v>1200</v>
      </c>
      <c r="X107" s="266">
        <v>1200</v>
      </c>
      <c r="Y107" s="279">
        <v>1200</v>
      </c>
      <c r="Z107" s="280"/>
      <c r="AA107" s="236"/>
      <c r="AB107" s="236"/>
      <c r="AC107" s="236"/>
      <c r="AD107" s="98"/>
    </row>
    <row r="108" ht="15.9" customHeight="1" outlineLevel="2" spans="2:30">
      <c r="B108" s="195"/>
      <c r="C108" s="300" t="s">
        <v>2442</v>
      </c>
      <c r="D108" s="65" t="s">
        <v>665</v>
      </c>
      <c r="E108" s="203">
        <v>3</v>
      </c>
      <c r="F108" s="108" t="s">
        <v>1015</v>
      </c>
      <c r="G108" s="203" t="e">
        <f>$F$5</f>
        <v>#REF!</v>
      </c>
      <c r="H108" s="116">
        <v>792</v>
      </c>
      <c r="I108" s="198" t="e">
        <f t="shared" si="28"/>
        <v>#REF!</v>
      </c>
      <c r="J108" s="198"/>
      <c r="K108" s="236" t="s">
        <v>2422</v>
      </c>
      <c r="L108" s="222" t="str">
        <f>$I$2</f>
        <v>C</v>
      </c>
      <c r="M108" s="238">
        <v>101</v>
      </c>
      <c r="P108" s="232"/>
      <c r="Q108" s="263"/>
      <c r="R108" s="263"/>
      <c r="S108" s="263"/>
      <c r="T108" s="264"/>
      <c r="U108" s="265">
        <v>900</v>
      </c>
      <c r="V108" s="266">
        <v>900</v>
      </c>
      <c r="W108" s="266">
        <v>900</v>
      </c>
      <c r="X108" s="266">
        <v>900</v>
      </c>
      <c r="Y108" s="279">
        <v>900</v>
      </c>
      <c r="Z108" s="280"/>
      <c r="AA108" s="236"/>
      <c r="AB108" s="236"/>
      <c r="AC108" s="236"/>
      <c r="AD108" s="98"/>
    </row>
    <row r="109" ht="15.9" customHeight="1" outlineLevel="1" spans="2:30">
      <c r="B109" s="194" t="s">
        <v>622</v>
      </c>
      <c r="C109" s="298" t="s">
        <v>1813</v>
      </c>
      <c r="D109" s="197"/>
      <c r="E109" s="203"/>
      <c r="F109" s="108"/>
      <c r="G109" s="108"/>
      <c r="H109" s="116"/>
      <c r="I109" s="116" t="e">
        <f>SUM(I110:I111)</f>
        <v>#REF!</v>
      </c>
      <c r="J109" s="198" t="e">
        <f>IF(I109=0,"",IF(#REF!=0,"",I109*10000/#REF!))</f>
        <v>#REF!</v>
      </c>
      <c r="K109" s="236"/>
      <c r="L109" s="237"/>
      <c r="M109" s="238">
        <v>102</v>
      </c>
      <c r="P109" s="232"/>
      <c r="Q109" s="263"/>
      <c r="R109" s="263"/>
      <c r="S109" s="263"/>
      <c r="T109" s="264"/>
      <c r="U109" s="265"/>
      <c r="V109" s="266"/>
      <c r="W109" s="266"/>
      <c r="X109" s="266"/>
      <c r="Y109" s="279"/>
      <c r="Z109" s="280"/>
      <c r="AA109" s="236"/>
      <c r="AB109" s="236"/>
      <c r="AC109" s="236"/>
      <c r="AD109" s="98"/>
    </row>
    <row r="110" ht="15.9" customHeight="1" outlineLevel="2" spans="2:30">
      <c r="B110" s="195"/>
      <c r="C110" s="300" t="s">
        <v>2443</v>
      </c>
      <c r="D110" s="65" t="s">
        <v>2444</v>
      </c>
      <c r="E110" s="65">
        <f>0.1</f>
        <v>0.1</v>
      </c>
      <c r="F110" s="108" t="s">
        <v>1015</v>
      </c>
      <c r="G110" s="108" t="e">
        <f>D5</f>
        <v>#REF!</v>
      </c>
      <c r="H110" s="116">
        <v>500</v>
      </c>
      <c r="I110" s="116" t="e">
        <f t="shared" ref="I110:I117" si="29">E110*G110*H110/10000</f>
        <v>#REF!</v>
      </c>
      <c r="J110" s="116"/>
      <c r="K110" s="236"/>
      <c r="L110" s="222" t="s">
        <v>2374</v>
      </c>
      <c r="M110" s="238">
        <v>103</v>
      </c>
      <c r="P110" s="232">
        <v>0.24</v>
      </c>
      <c r="Q110" s="263">
        <v>0.2</v>
      </c>
      <c r="R110" s="263">
        <v>0.18</v>
      </c>
      <c r="S110" s="263">
        <v>0.16</v>
      </c>
      <c r="T110" s="263">
        <v>0.16</v>
      </c>
      <c r="U110" s="265">
        <v>800</v>
      </c>
      <c r="V110" s="266">
        <v>750</v>
      </c>
      <c r="W110" s="266">
        <v>700</v>
      </c>
      <c r="X110" s="266">
        <v>650</v>
      </c>
      <c r="Y110" s="279">
        <v>550</v>
      </c>
      <c r="Z110" s="280"/>
      <c r="AA110" s="236"/>
      <c r="AB110" s="236"/>
      <c r="AC110" s="236"/>
      <c r="AD110" s="98"/>
    </row>
    <row r="111" ht="15.9" customHeight="1" outlineLevel="2" spans="2:30">
      <c r="B111" s="195"/>
      <c r="C111" s="300" t="s">
        <v>2443</v>
      </c>
      <c r="D111" s="65" t="s">
        <v>2444</v>
      </c>
      <c r="E111" s="65">
        <f>0.15</f>
        <v>0.15</v>
      </c>
      <c r="F111" s="108" t="s">
        <v>1015</v>
      </c>
      <c r="G111" s="108" t="e">
        <f>G110</f>
        <v>#REF!</v>
      </c>
      <c r="H111" s="116">
        <v>650</v>
      </c>
      <c r="I111" s="116" t="e">
        <f t="shared" si="29"/>
        <v>#REF!</v>
      </c>
      <c r="J111" s="116"/>
      <c r="K111" s="236"/>
      <c r="L111" s="222" t="s">
        <v>2374</v>
      </c>
      <c r="M111" s="238">
        <v>104</v>
      </c>
      <c r="P111" s="232">
        <v>0.24</v>
      </c>
      <c r="Q111" s="263">
        <v>0.2</v>
      </c>
      <c r="R111" s="263">
        <v>0.18</v>
      </c>
      <c r="S111" s="263">
        <v>0.16</v>
      </c>
      <c r="T111" s="263">
        <v>0.16</v>
      </c>
      <c r="U111" s="265">
        <v>800</v>
      </c>
      <c r="V111" s="266">
        <v>750</v>
      </c>
      <c r="W111" s="266">
        <v>700</v>
      </c>
      <c r="X111" s="266">
        <v>650</v>
      </c>
      <c r="Y111" s="279">
        <v>550</v>
      </c>
      <c r="Z111" s="280"/>
      <c r="AA111" s="236"/>
      <c r="AB111" s="236"/>
      <c r="AC111" s="236"/>
      <c r="AD111" s="98"/>
    </row>
    <row r="112" ht="15.9" customHeight="1" outlineLevel="1" spans="2:30">
      <c r="B112" s="125" t="s">
        <v>778</v>
      </c>
      <c r="C112" s="289" t="s">
        <v>1275</v>
      </c>
      <c r="D112" s="290"/>
      <c r="E112" s="291"/>
      <c r="F112" s="292"/>
      <c r="G112" s="292"/>
      <c r="H112" s="293"/>
      <c r="I112" s="307" t="e">
        <f>SUM(I113:I117)</f>
        <v>#REF!</v>
      </c>
      <c r="J112" s="307" t="e">
        <f>IF(I112=0,"",IF(#REF!=0,"",I112*10000/#REF!))</f>
        <v>#REF!</v>
      </c>
      <c r="K112" s="308"/>
      <c r="L112" s="237"/>
      <c r="M112" s="238">
        <v>105</v>
      </c>
      <c r="P112" s="232"/>
      <c r="Q112" s="263"/>
      <c r="R112" s="263"/>
      <c r="S112" s="263"/>
      <c r="T112" s="264"/>
      <c r="U112" s="265"/>
      <c r="V112" s="266"/>
      <c r="W112" s="266"/>
      <c r="X112" s="266"/>
      <c r="Y112" s="279"/>
      <c r="Z112" s="280"/>
      <c r="AA112" s="236"/>
      <c r="AB112" s="236"/>
      <c r="AC112" s="236"/>
      <c r="AD112" s="98"/>
    </row>
    <row r="113" ht="15.9" customHeight="1" outlineLevel="2" spans="2:30">
      <c r="B113" s="194" t="s">
        <v>622</v>
      </c>
      <c r="C113" s="107" t="s">
        <v>2445</v>
      </c>
      <c r="D113" s="65" t="s">
        <v>2446</v>
      </c>
      <c r="E113" s="203">
        <f>E40</f>
        <v>1.3</v>
      </c>
      <c r="F113" s="108" t="s">
        <v>1015</v>
      </c>
      <c r="G113" s="108" t="e">
        <f>$D$3</f>
        <v>#REF!</v>
      </c>
      <c r="H113" s="116">
        <f t="shared" ref="H113:H117" si="30">HLOOKUP(L113,$U$8:$Y$173,M113,FALSE)</f>
        <v>35</v>
      </c>
      <c r="I113" s="116" t="e">
        <f t="shared" si="29"/>
        <v>#REF!</v>
      </c>
      <c r="J113" s="116"/>
      <c r="K113" s="236"/>
      <c r="L113" s="222" t="str">
        <f>$I$2</f>
        <v>C</v>
      </c>
      <c r="M113" s="238">
        <v>106</v>
      </c>
      <c r="P113" s="232"/>
      <c r="Q113" s="263"/>
      <c r="R113" s="263"/>
      <c r="S113" s="263"/>
      <c r="T113" s="264"/>
      <c r="U113" s="265">
        <v>35</v>
      </c>
      <c r="V113" s="266">
        <v>35</v>
      </c>
      <c r="W113" s="266">
        <v>35</v>
      </c>
      <c r="X113" s="266">
        <v>35</v>
      </c>
      <c r="Y113" s="279">
        <v>35</v>
      </c>
      <c r="Z113" s="280"/>
      <c r="AA113" s="236"/>
      <c r="AB113" s="236"/>
      <c r="AC113" s="236"/>
      <c r="AD113" s="98"/>
    </row>
    <row r="114" ht="15.9" customHeight="1" outlineLevel="2" spans="2:30">
      <c r="B114" s="194" t="s">
        <v>622</v>
      </c>
      <c r="C114" s="107" t="s">
        <v>2447</v>
      </c>
      <c r="D114" s="65" t="s">
        <v>2408</v>
      </c>
      <c r="E114" s="65">
        <v>1</v>
      </c>
      <c r="F114" s="297"/>
      <c r="G114" s="108" t="e">
        <f>$I$5</f>
        <v>#REF!</v>
      </c>
      <c r="H114" s="116">
        <f t="shared" si="30"/>
        <v>50</v>
      </c>
      <c r="I114" s="116" t="e">
        <f t="shared" si="29"/>
        <v>#REF!</v>
      </c>
      <c r="J114" s="116"/>
      <c r="K114" s="236" t="s">
        <v>2422</v>
      </c>
      <c r="L114" s="222" t="str">
        <f>$I$2</f>
        <v>C</v>
      </c>
      <c r="M114" s="238">
        <v>107</v>
      </c>
      <c r="P114" s="232"/>
      <c r="Q114" s="263"/>
      <c r="R114" s="263"/>
      <c r="S114" s="263"/>
      <c r="T114" s="264"/>
      <c r="U114" s="265"/>
      <c r="V114" s="266"/>
      <c r="W114" s="266"/>
      <c r="X114" s="266">
        <v>50</v>
      </c>
      <c r="Y114" s="279"/>
      <c r="Z114" s="280"/>
      <c r="AA114" s="236"/>
      <c r="AB114" s="236"/>
      <c r="AC114" s="236"/>
      <c r="AD114" s="98"/>
    </row>
    <row r="115" ht="15.9" customHeight="1" outlineLevel="2" spans="2:30">
      <c r="B115" s="194" t="s">
        <v>622</v>
      </c>
      <c r="C115" s="107" t="s">
        <v>2448</v>
      </c>
      <c r="D115" s="65" t="s">
        <v>2427</v>
      </c>
      <c r="E115" s="65">
        <v>1</v>
      </c>
      <c r="F115" s="108" t="s">
        <v>2449</v>
      </c>
      <c r="G115" s="108" t="e">
        <f>$F$5+$F$4</f>
        <v>#REF!</v>
      </c>
      <c r="H115" s="116">
        <f t="shared" si="30"/>
        <v>500</v>
      </c>
      <c r="I115" s="116" t="e">
        <f t="shared" si="29"/>
        <v>#REF!</v>
      </c>
      <c r="J115" s="116"/>
      <c r="K115" s="236" t="s">
        <v>2422</v>
      </c>
      <c r="L115" s="222" t="str">
        <f>$I$2</f>
        <v>C</v>
      </c>
      <c r="M115" s="238">
        <v>108</v>
      </c>
      <c r="P115" s="232"/>
      <c r="Q115" s="263"/>
      <c r="R115" s="263"/>
      <c r="S115" s="263"/>
      <c r="T115" s="264"/>
      <c r="U115" s="265"/>
      <c r="V115" s="266"/>
      <c r="W115" s="266"/>
      <c r="X115" s="266">
        <v>500</v>
      </c>
      <c r="Y115" s="279"/>
      <c r="Z115" s="280"/>
      <c r="AA115" s="236"/>
      <c r="AB115" s="236"/>
      <c r="AC115" s="236"/>
      <c r="AD115" s="98"/>
    </row>
    <row r="116" ht="15.9" customHeight="1" outlineLevel="2" spans="2:30">
      <c r="B116" s="194" t="s">
        <v>622</v>
      </c>
      <c r="C116" s="107" t="s">
        <v>2450</v>
      </c>
      <c r="D116" s="65" t="s">
        <v>2425</v>
      </c>
      <c r="E116" s="65">
        <v>2</v>
      </c>
      <c r="F116" s="108" t="s">
        <v>2451</v>
      </c>
      <c r="G116" s="108" t="e">
        <f>$F$3</f>
        <v>#REF!</v>
      </c>
      <c r="H116" s="116">
        <f t="shared" si="30"/>
        <v>2000</v>
      </c>
      <c r="I116" s="116" t="e">
        <f t="shared" si="29"/>
        <v>#REF!</v>
      </c>
      <c r="J116" s="116"/>
      <c r="K116" s="236" t="s">
        <v>2422</v>
      </c>
      <c r="L116" s="222" t="str">
        <f>$I$2</f>
        <v>C</v>
      </c>
      <c r="M116" s="238">
        <v>109</v>
      </c>
      <c r="P116" s="232"/>
      <c r="Q116" s="263"/>
      <c r="R116" s="263"/>
      <c r="S116" s="263"/>
      <c r="T116" s="264"/>
      <c r="U116" s="265"/>
      <c r="V116" s="266"/>
      <c r="W116" s="266"/>
      <c r="X116" s="266">
        <v>2000</v>
      </c>
      <c r="Y116" s="279"/>
      <c r="Z116" s="280"/>
      <c r="AA116" s="236"/>
      <c r="AB116" s="236"/>
      <c r="AC116" s="236"/>
      <c r="AD116" s="98"/>
    </row>
    <row r="117" ht="15.9" customHeight="1" outlineLevel="2" spans="2:30">
      <c r="B117" s="194" t="s">
        <v>622</v>
      </c>
      <c r="C117" s="107" t="s">
        <v>2452</v>
      </c>
      <c r="D117" s="65" t="s">
        <v>2408</v>
      </c>
      <c r="E117" s="65">
        <v>1</v>
      </c>
      <c r="F117" s="297"/>
      <c r="G117" s="108" t="e">
        <f>$I$5</f>
        <v>#REF!</v>
      </c>
      <c r="H117" s="116">
        <f t="shared" si="30"/>
        <v>90</v>
      </c>
      <c r="I117" s="116" t="e">
        <f t="shared" si="29"/>
        <v>#REF!</v>
      </c>
      <c r="J117" s="116"/>
      <c r="K117" s="236" t="s">
        <v>2422</v>
      </c>
      <c r="L117" s="222" t="str">
        <f>$I$2</f>
        <v>C</v>
      </c>
      <c r="M117" s="238">
        <v>110</v>
      </c>
      <c r="P117" s="232"/>
      <c r="Q117" s="263"/>
      <c r="R117" s="263"/>
      <c r="S117" s="263"/>
      <c r="T117" s="264"/>
      <c r="U117" s="265"/>
      <c r="V117" s="266"/>
      <c r="W117" s="266"/>
      <c r="X117" s="266">
        <v>90</v>
      </c>
      <c r="Y117" s="279"/>
      <c r="Z117" s="280"/>
      <c r="AA117" s="236"/>
      <c r="AB117" s="236"/>
      <c r="AC117" s="236"/>
      <c r="AD117" s="98"/>
    </row>
    <row r="118" ht="15.9" customHeight="1" spans="2:30">
      <c r="B118" s="120">
        <v>2</v>
      </c>
      <c r="C118" s="121" t="s">
        <v>552</v>
      </c>
      <c r="D118" s="193"/>
      <c r="E118" s="193"/>
      <c r="F118" s="155"/>
      <c r="G118" s="155"/>
      <c r="H118" s="155"/>
      <c r="I118" s="156" t="e">
        <f>I119+I124+I125+I126+I128+I132</f>
        <v>#REF!</v>
      </c>
      <c r="J118" s="156" t="e">
        <f>IF(I118=0,"",IF(#REF!=0,"",I118*10000/#REF!))</f>
        <v>#REF!</v>
      </c>
      <c r="K118" s="233"/>
      <c r="L118" s="234"/>
      <c r="M118" s="238">
        <v>111</v>
      </c>
      <c r="P118" s="232"/>
      <c r="Q118" s="263"/>
      <c r="R118" s="263"/>
      <c r="S118" s="263"/>
      <c r="T118" s="264"/>
      <c r="U118" s="265"/>
      <c r="V118" s="266"/>
      <c r="W118" s="266"/>
      <c r="X118" s="266"/>
      <c r="Y118" s="279"/>
      <c r="Z118" s="280"/>
      <c r="AA118" s="236"/>
      <c r="AB118" s="236"/>
      <c r="AC118" s="236"/>
      <c r="AD118" s="98"/>
    </row>
    <row r="119" ht="15.9" customHeight="1" outlineLevel="1" spans="2:30">
      <c r="B119" s="125" t="s">
        <v>619</v>
      </c>
      <c r="C119" s="126" t="s">
        <v>2309</v>
      </c>
      <c r="D119" s="290"/>
      <c r="E119" s="292"/>
      <c r="F119" s="292"/>
      <c r="G119" s="292"/>
      <c r="H119" s="301" t="e">
        <f>SUM(I120:I122)*10000/E120/G120</f>
        <v>#REF!</v>
      </c>
      <c r="I119" s="307" t="e">
        <f>SUM(I120:I123)</f>
        <v>#REF!</v>
      </c>
      <c r="J119" s="307" t="e">
        <f>IF(I119=0,"",IF(#REF!=0,"",I119*10000/#REF!))</f>
        <v>#REF!</v>
      </c>
      <c r="K119" s="309"/>
      <c r="L119" s="237"/>
      <c r="M119" s="238">
        <v>112</v>
      </c>
      <c r="P119" s="232"/>
      <c r="Q119" s="263"/>
      <c r="R119" s="263"/>
      <c r="S119" s="263"/>
      <c r="T119" s="264"/>
      <c r="U119" s="265"/>
      <c r="V119" s="266"/>
      <c r="W119" s="266"/>
      <c r="X119" s="266"/>
      <c r="Y119" s="279"/>
      <c r="Z119" s="280"/>
      <c r="AA119" s="236"/>
      <c r="AB119" s="236"/>
      <c r="AC119" s="236"/>
      <c r="AD119" s="98"/>
    </row>
    <row r="120" ht="15.9" customHeight="1" outlineLevel="2" spans="2:30">
      <c r="B120" s="194" t="s">
        <v>622</v>
      </c>
      <c r="C120" s="107" t="s">
        <v>2453</v>
      </c>
      <c r="D120" s="197" t="s">
        <v>2454</v>
      </c>
      <c r="E120" s="65">
        <v>150</v>
      </c>
      <c r="F120" s="108" t="s">
        <v>1832</v>
      </c>
      <c r="G120" s="108" t="e">
        <f>$F$4</f>
        <v>#REF!</v>
      </c>
      <c r="H120" s="108">
        <f t="shared" ref="H120:H123" si="31">HLOOKUP(L120,$U$8:$Y$173,M120,FALSE)</f>
        <v>240</v>
      </c>
      <c r="I120" s="116" t="e">
        <f t="shared" ref="I120:I123" si="32">E120*G120*H120/10000</f>
        <v>#REF!</v>
      </c>
      <c r="J120" s="116"/>
      <c r="K120" s="236" t="s">
        <v>2455</v>
      </c>
      <c r="L120" s="222" t="s">
        <v>2374</v>
      </c>
      <c r="M120" s="238">
        <v>113</v>
      </c>
      <c r="P120" s="232"/>
      <c r="Q120" s="263"/>
      <c r="R120" s="263"/>
      <c r="S120" s="248">
        <v>55</v>
      </c>
      <c r="T120" s="264">
        <v>50</v>
      </c>
      <c r="U120" s="265"/>
      <c r="V120" s="266"/>
      <c r="W120" s="266"/>
      <c r="X120" s="266">
        <v>240</v>
      </c>
      <c r="Y120" s="279">
        <v>160</v>
      </c>
      <c r="Z120" s="280"/>
      <c r="AA120" s="236"/>
      <c r="AB120" s="236"/>
      <c r="AC120" s="236"/>
      <c r="AD120" s="98"/>
    </row>
    <row r="121" ht="15.9" customHeight="1" outlineLevel="2" spans="2:30">
      <c r="B121" s="194" t="s">
        <v>622</v>
      </c>
      <c r="C121" s="107" t="s">
        <v>2456</v>
      </c>
      <c r="D121" s="197" t="s">
        <v>2454</v>
      </c>
      <c r="E121" s="65">
        <f>E120</f>
        <v>150</v>
      </c>
      <c r="F121" s="108" t="s">
        <v>1832</v>
      </c>
      <c r="G121" s="108" t="e">
        <f>$F$4</f>
        <v>#REF!</v>
      </c>
      <c r="H121" s="108">
        <f t="shared" si="31"/>
        <v>400</v>
      </c>
      <c r="I121" s="116" t="e">
        <f t="shared" si="32"/>
        <v>#REF!</v>
      </c>
      <c r="J121" s="116"/>
      <c r="K121" s="236" t="s">
        <v>2455</v>
      </c>
      <c r="L121" s="222" t="s">
        <v>2374</v>
      </c>
      <c r="M121" s="238">
        <v>114</v>
      </c>
      <c r="P121" s="232"/>
      <c r="Q121" s="263"/>
      <c r="R121" s="263"/>
      <c r="S121" s="248">
        <v>55</v>
      </c>
      <c r="T121" s="264">
        <v>50</v>
      </c>
      <c r="U121" s="265"/>
      <c r="V121" s="266"/>
      <c r="W121" s="266"/>
      <c r="X121" s="266">
        <v>400</v>
      </c>
      <c r="Y121" s="279">
        <v>200</v>
      </c>
      <c r="Z121" s="280"/>
      <c r="AA121" s="236"/>
      <c r="AB121" s="236"/>
      <c r="AC121" s="236"/>
      <c r="AD121" s="98"/>
    </row>
    <row r="122" ht="15.9" customHeight="1" outlineLevel="2" spans="2:30">
      <c r="B122" s="194" t="s">
        <v>622</v>
      </c>
      <c r="C122" s="107" t="s">
        <v>2457</v>
      </c>
      <c r="D122" s="197" t="s">
        <v>2454</v>
      </c>
      <c r="E122" s="65">
        <f>E120*3</f>
        <v>450</v>
      </c>
      <c r="F122" s="108" t="s">
        <v>1832</v>
      </c>
      <c r="G122" s="108" t="e">
        <f>$F$4</f>
        <v>#REF!</v>
      </c>
      <c r="H122" s="108">
        <f t="shared" si="31"/>
        <v>400</v>
      </c>
      <c r="I122" s="116" t="e">
        <f t="shared" si="32"/>
        <v>#REF!</v>
      </c>
      <c r="J122" s="116"/>
      <c r="K122" s="236" t="s">
        <v>2455</v>
      </c>
      <c r="L122" s="222" t="s">
        <v>2374</v>
      </c>
      <c r="M122" s="238">
        <v>115</v>
      </c>
      <c r="P122" s="232"/>
      <c r="Q122" s="263"/>
      <c r="R122" s="263"/>
      <c r="S122" s="248">
        <f>S121*3</f>
        <v>165</v>
      </c>
      <c r="T122" s="264">
        <f>T121*2.4</f>
        <v>120</v>
      </c>
      <c r="U122" s="265"/>
      <c r="V122" s="266"/>
      <c r="W122" s="266"/>
      <c r="X122" s="266">
        <v>400</v>
      </c>
      <c r="Y122" s="279">
        <v>350</v>
      </c>
      <c r="Z122" s="280"/>
      <c r="AA122" s="236"/>
      <c r="AB122" s="236"/>
      <c r="AC122" s="236"/>
      <c r="AD122" s="98"/>
    </row>
    <row r="123" ht="15.9" customHeight="1" outlineLevel="2" spans="2:30">
      <c r="B123" s="194" t="s">
        <v>622</v>
      </c>
      <c r="C123" s="107" t="s">
        <v>2458</v>
      </c>
      <c r="D123" s="197" t="s">
        <v>2454</v>
      </c>
      <c r="E123" s="65">
        <f>E121</f>
        <v>150</v>
      </c>
      <c r="F123" s="108" t="s">
        <v>1832</v>
      </c>
      <c r="G123" s="108" t="e">
        <f>$F$4</f>
        <v>#REF!</v>
      </c>
      <c r="H123" s="108">
        <f t="shared" si="31"/>
        <v>600</v>
      </c>
      <c r="I123" s="116" t="e">
        <f t="shared" si="32"/>
        <v>#REF!</v>
      </c>
      <c r="J123" s="116"/>
      <c r="K123" s="236" t="s">
        <v>2455</v>
      </c>
      <c r="L123" s="222" t="str">
        <f>$I$2</f>
        <v>C</v>
      </c>
      <c r="M123" s="238">
        <v>116</v>
      </c>
      <c r="P123" s="232"/>
      <c r="Q123" s="263"/>
      <c r="R123" s="263"/>
      <c r="S123" s="248">
        <v>55</v>
      </c>
      <c r="T123" s="264">
        <v>50</v>
      </c>
      <c r="U123" s="265"/>
      <c r="V123" s="266"/>
      <c r="W123" s="266"/>
      <c r="X123" s="266">
        <v>600</v>
      </c>
      <c r="Y123" s="279">
        <v>400</v>
      </c>
      <c r="Z123" s="280"/>
      <c r="AA123" s="236"/>
      <c r="AB123" s="236"/>
      <c r="AC123" s="236"/>
      <c r="AD123" s="98"/>
    </row>
    <row r="124" ht="15.9" customHeight="1" outlineLevel="1" spans="2:30">
      <c r="B124" s="125" t="s">
        <v>657</v>
      </c>
      <c r="C124" s="126" t="s">
        <v>1844</v>
      </c>
      <c r="D124" s="290"/>
      <c r="E124" s="292"/>
      <c r="F124" s="292"/>
      <c r="G124" s="292"/>
      <c r="H124" s="301"/>
      <c r="I124" s="307"/>
      <c r="J124" s="307"/>
      <c r="K124" s="309"/>
      <c r="L124" s="237"/>
      <c r="M124" s="238">
        <v>117</v>
      </c>
      <c r="P124" s="232"/>
      <c r="Q124" s="263"/>
      <c r="R124" s="263"/>
      <c r="S124" s="263"/>
      <c r="T124" s="264"/>
      <c r="U124" s="265"/>
      <c r="V124" s="266"/>
      <c r="W124" s="266"/>
      <c r="X124" s="266"/>
      <c r="Y124" s="279"/>
      <c r="Z124" s="280"/>
      <c r="AA124" s="236"/>
      <c r="AB124" s="236"/>
      <c r="AC124" s="236"/>
      <c r="AD124" s="98"/>
    </row>
    <row r="125" ht="15.9" customHeight="1" spans="2:30">
      <c r="B125" s="125" t="s">
        <v>762</v>
      </c>
      <c r="C125" s="126" t="s">
        <v>2310</v>
      </c>
      <c r="D125" s="302"/>
      <c r="E125" s="302"/>
      <c r="F125" s="303"/>
      <c r="G125" s="303"/>
      <c r="H125" s="303"/>
      <c r="I125" s="310"/>
      <c r="J125" s="310"/>
      <c r="K125" s="309"/>
      <c r="L125" s="231"/>
      <c r="M125" s="238">
        <v>118</v>
      </c>
      <c r="P125" s="232"/>
      <c r="Q125" s="263"/>
      <c r="R125" s="263"/>
      <c r="S125" s="263"/>
      <c r="T125" s="264"/>
      <c r="U125" s="265"/>
      <c r="V125" s="266"/>
      <c r="W125" s="266"/>
      <c r="X125" s="266"/>
      <c r="Y125" s="279"/>
      <c r="Z125" s="280"/>
      <c r="AA125" s="236"/>
      <c r="AB125" s="236"/>
      <c r="AC125" s="236"/>
      <c r="AD125" s="98"/>
    </row>
    <row r="126" ht="15.9" customHeight="1" spans="2:30">
      <c r="B126" s="125" t="s">
        <v>778</v>
      </c>
      <c r="C126" s="126" t="s">
        <v>1858</v>
      </c>
      <c r="D126" s="302"/>
      <c r="E126" s="302"/>
      <c r="F126" s="303"/>
      <c r="G126" s="303"/>
      <c r="H126" s="303"/>
      <c r="I126" s="311" t="e">
        <f>SUM(I127)</f>
        <v>#REF!</v>
      </c>
      <c r="J126" s="311" t="e">
        <f>IF(I126=0,"",IF(#REF!=0,"",I126*10000/#REF!))</f>
        <v>#REF!</v>
      </c>
      <c r="K126" s="309"/>
      <c r="L126" s="231"/>
      <c r="M126" s="238">
        <v>119</v>
      </c>
      <c r="P126" s="232"/>
      <c r="Q126" s="263"/>
      <c r="R126" s="263"/>
      <c r="S126" s="263"/>
      <c r="T126" s="264"/>
      <c r="U126" s="265"/>
      <c r="V126" s="266"/>
      <c r="W126" s="266"/>
      <c r="X126" s="266"/>
      <c r="Y126" s="279"/>
      <c r="Z126" s="280"/>
      <c r="AA126" s="236"/>
      <c r="AB126" s="236"/>
      <c r="AC126" s="236"/>
      <c r="AD126" s="98"/>
    </row>
    <row r="127" ht="15.9" customHeight="1" outlineLevel="2" spans="2:30">
      <c r="B127" s="194" t="s">
        <v>622</v>
      </c>
      <c r="C127" s="107" t="s">
        <v>2459</v>
      </c>
      <c r="D127" s="197" t="s">
        <v>2454</v>
      </c>
      <c r="E127" s="304">
        <v>1</v>
      </c>
      <c r="F127" s="108" t="s">
        <v>1832</v>
      </c>
      <c r="G127" s="108" t="e">
        <f>F4</f>
        <v>#REF!</v>
      </c>
      <c r="H127" s="108">
        <v>150000</v>
      </c>
      <c r="I127" s="116" t="e">
        <f t="shared" ref="I127:I131" si="33">E127*G127*H127/10000</f>
        <v>#REF!</v>
      </c>
      <c r="J127" s="116"/>
      <c r="K127" s="236" t="s">
        <v>2460</v>
      </c>
      <c r="L127" s="222"/>
      <c r="M127" s="238">
        <v>120</v>
      </c>
      <c r="P127" s="232"/>
      <c r="Q127" s="263"/>
      <c r="R127" s="263"/>
      <c r="S127" s="263">
        <v>110</v>
      </c>
      <c r="T127" s="264"/>
      <c r="U127" s="265"/>
      <c r="V127" s="266"/>
      <c r="W127" s="266"/>
      <c r="X127" s="266">
        <v>70</v>
      </c>
      <c r="Y127" s="279"/>
      <c r="Z127" s="280"/>
      <c r="AA127" s="236"/>
      <c r="AB127" s="236"/>
      <c r="AC127" s="236"/>
      <c r="AD127" s="98"/>
    </row>
    <row r="128" ht="15.9" customHeight="1" spans="2:30">
      <c r="B128" s="125" t="s">
        <v>781</v>
      </c>
      <c r="C128" s="126" t="s">
        <v>2311</v>
      </c>
      <c r="D128" s="302"/>
      <c r="E128" s="302"/>
      <c r="F128" s="303"/>
      <c r="G128" s="303"/>
      <c r="H128" s="303"/>
      <c r="I128" s="311" t="e">
        <f>SUM(I129:I131)</f>
        <v>#REF!</v>
      </c>
      <c r="J128" s="311" t="e">
        <f>IF(I128=0,"",IF(#REF!=0,"",I128*10000/#REF!))</f>
        <v>#REF!</v>
      </c>
      <c r="K128" s="309"/>
      <c r="L128" s="231"/>
      <c r="M128" s="238">
        <v>121</v>
      </c>
      <c r="P128" s="232"/>
      <c r="Q128" s="263"/>
      <c r="R128" s="263"/>
      <c r="S128" s="263"/>
      <c r="T128" s="264"/>
      <c r="U128" s="265"/>
      <c r="V128" s="266"/>
      <c r="W128" s="266"/>
      <c r="X128" s="266"/>
      <c r="Y128" s="279"/>
      <c r="Z128" s="280"/>
      <c r="AA128" s="236"/>
      <c r="AB128" s="236"/>
      <c r="AC128" s="236"/>
      <c r="AD128" s="98"/>
    </row>
    <row r="129" ht="15.9" customHeight="1" outlineLevel="2" spans="2:30">
      <c r="B129" s="194" t="s">
        <v>622</v>
      </c>
      <c r="C129" s="107" t="s">
        <v>2461</v>
      </c>
      <c r="D129" s="65" t="s">
        <v>2427</v>
      </c>
      <c r="E129" s="114"/>
      <c r="F129" s="108" t="s">
        <v>1861</v>
      </c>
      <c r="G129" s="203" t="e">
        <f>$F$5</f>
        <v>#REF!</v>
      </c>
      <c r="H129" s="108">
        <f t="shared" ref="H129:H131" si="34">HLOOKUP(L129,$U$8:$Y$173,M129,FALSE)</f>
        <v>0</v>
      </c>
      <c r="I129" s="116" t="e">
        <f t="shared" si="33"/>
        <v>#REF!</v>
      </c>
      <c r="J129" s="116"/>
      <c r="K129" s="236" t="s">
        <v>2422</v>
      </c>
      <c r="L129" s="222" t="str">
        <f>$I$2</f>
        <v>C</v>
      </c>
      <c r="M129" s="238">
        <v>122</v>
      </c>
      <c r="P129" s="316"/>
      <c r="Q129" s="319"/>
      <c r="R129" s="319"/>
      <c r="S129" s="319"/>
      <c r="T129" s="320"/>
      <c r="U129" s="265">
        <v>45</v>
      </c>
      <c r="V129" s="266">
        <v>45</v>
      </c>
      <c r="W129" s="266"/>
      <c r="X129" s="266"/>
      <c r="Y129" s="279"/>
      <c r="Z129" s="280"/>
      <c r="AA129" s="236"/>
      <c r="AB129" s="236"/>
      <c r="AC129" s="236"/>
      <c r="AD129" s="98"/>
    </row>
    <row r="130" ht="15.9" customHeight="1" outlineLevel="2" spans="2:30">
      <c r="B130" s="194" t="s">
        <v>622</v>
      </c>
      <c r="C130" s="107" t="s">
        <v>2462</v>
      </c>
      <c r="D130" s="65" t="s">
        <v>2427</v>
      </c>
      <c r="E130" s="114">
        <f>(20)*2.6*2</f>
        <v>104</v>
      </c>
      <c r="F130" s="108" t="s">
        <v>1861</v>
      </c>
      <c r="G130" s="203" t="e">
        <f>$F$5</f>
        <v>#REF!</v>
      </c>
      <c r="H130" s="108">
        <f t="shared" si="34"/>
        <v>15</v>
      </c>
      <c r="I130" s="116" t="e">
        <f t="shared" si="33"/>
        <v>#REF!</v>
      </c>
      <c r="J130" s="116"/>
      <c r="K130" s="236" t="s">
        <v>2422</v>
      </c>
      <c r="L130" s="222" t="str">
        <f>$I$2</f>
        <v>C</v>
      </c>
      <c r="M130" s="238">
        <v>123</v>
      </c>
      <c r="P130" s="316"/>
      <c r="Q130" s="319"/>
      <c r="R130" s="319"/>
      <c r="S130" s="319"/>
      <c r="T130" s="320"/>
      <c r="U130" s="265">
        <v>15</v>
      </c>
      <c r="V130" s="266">
        <v>15</v>
      </c>
      <c r="W130" s="266">
        <v>15</v>
      </c>
      <c r="X130" s="266">
        <v>15</v>
      </c>
      <c r="Y130" s="279">
        <v>15</v>
      </c>
      <c r="Z130" s="280"/>
      <c r="AA130" s="236"/>
      <c r="AB130" s="236"/>
      <c r="AC130" s="236"/>
      <c r="AD130" s="98"/>
    </row>
    <row r="131" ht="15.9" customHeight="1" outlineLevel="2" spans="2:30">
      <c r="B131" s="194" t="s">
        <v>622</v>
      </c>
      <c r="C131" s="107" t="s">
        <v>2463</v>
      </c>
      <c r="D131" s="65" t="s">
        <v>2427</v>
      </c>
      <c r="E131" s="114">
        <f>28*1.3</f>
        <v>36.4</v>
      </c>
      <c r="F131" s="108" t="s">
        <v>1861</v>
      </c>
      <c r="G131" s="203" t="e">
        <f>$F$5</f>
        <v>#REF!</v>
      </c>
      <c r="H131" s="108">
        <f t="shared" si="34"/>
        <v>15</v>
      </c>
      <c r="I131" s="116" t="e">
        <f t="shared" si="33"/>
        <v>#REF!</v>
      </c>
      <c r="J131" s="116"/>
      <c r="K131" s="236" t="s">
        <v>2422</v>
      </c>
      <c r="L131" s="222" t="str">
        <f>$I$2</f>
        <v>C</v>
      </c>
      <c r="M131" s="238">
        <v>124</v>
      </c>
      <c r="P131" s="316"/>
      <c r="Q131" s="319"/>
      <c r="R131" s="319"/>
      <c r="S131" s="319"/>
      <c r="T131" s="320"/>
      <c r="U131" s="265">
        <v>15</v>
      </c>
      <c r="V131" s="266">
        <v>15</v>
      </c>
      <c r="W131" s="266">
        <v>15</v>
      </c>
      <c r="X131" s="266">
        <v>15</v>
      </c>
      <c r="Y131" s="279">
        <v>15</v>
      </c>
      <c r="Z131" s="280"/>
      <c r="AA131" s="236"/>
      <c r="AB131" s="236"/>
      <c r="AC131" s="236"/>
      <c r="AD131" s="98"/>
    </row>
    <row r="132" ht="15.9" customHeight="1" spans="2:30">
      <c r="B132" s="125" t="s">
        <v>788</v>
      </c>
      <c r="C132" s="126" t="s">
        <v>1863</v>
      </c>
      <c r="D132" s="302"/>
      <c r="E132" s="302"/>
      <c r="F132" s="303"/>
      <c r="G132" s="313" t="e">
        <f>SUM(I136:I138)/E136/G136*10000</f>
        <v>#REF!</v>
      </c>
      <c r="H132" s="313" t="e">
        <f>SUM(I133:I135)*10000/E133/G133</f>
        <v>#REF!</v>
      </c>
      <c r="I132" s="311" t="e">
        <f>SUM(I133:I138)</f>
        <v>#REF!</v>
      </c>
      <c r="J132" s="311" t="e">
        <f>IF(I132=0,"",IF(#REF!=0,"",I132*10000/#REF!))</f>
        <v>#REF!</v>
      </c>
      <c r="K132" s="309"/>
      <c r="L132" s="231"/>
      <c r="M132" s="238">
        <v>125</v>
      </c>
      <c r="P132" s="232"/>
      <c r="Q132" s="263"/>
      <c r="R132" s="263"/>
      <c r="S132" s="263"/>
      <c r="T132" s="264"/>
      <c r="U132" s="265"/>
      <c r="V132" s="266"/>
      <c r="W132" s="266"/>
      <c r="X132" s="266"/>
      <c r="Y132" s="279"/>
      <c r="Z132" s="280"/>
      <c r="AA132" s="236"/>
      <c r="AB132" s="236"/>
      <c r="AC132" s="236"/>
      <c r="AD132" s="98"/>
    </row>
    <row r="133" ht="15.9" customHeight="1" outlineLevel="2" spans="2:30">
      <c r="B133" s="194" t="s">
        <v>622</v>
      </c>
      <c r="C133" s="107" t="s">
        <v>2464</v>
      </c>
      <c r="D133" s="65" t="s">
        <v>2427</v>
      </c>
      <c r="E133" s="296">
        <v>26</v>
      </c>
      <c r="F133" s="108" t="s">
        <v>1861</v>
      </c>
      <c r="G133" s="203" t="e">
        <f t="shared" ref="G133:G138" si="35">$F$5</f>
        <v>#REF!</v>
      </c>
      <c r="H133" s="108" t="e">
        <f>#REF!</f>
        <v>#REF!</v>
      </c>
      <c r="I133" s="116" t="e">
        <f t="shared" ref="I133:I138" si="36">E133*G133*H133/10000</f>
        <v>#REF!</v>
      </c>
      <c r="J133" s="116"/>
      <c r="K133" s="236" t="s">
        <v>2455</v>
      </c>
      <c r="L133" s="222" t="str">
        <f t="shared" ref="L133:L138" si="37">$I$2</f>
        <v>C</v>
      </c>
      <c r="M133" s="238">
        <v>126</v>
      </c>
      <c r="P133" s="232"/>
      <c r="Q133" s="263"/>
      <c r="R133" s="263">
        <v>15</v>
      </c>
      <c r="S133" s="263">
        <v>12</v>
      </c>
      <c r="T133" s="264"/>
      <c r="U133" s="265"/>
      <c r="V133" s="266"/>
      <c r="W133" s="266"/>
      <c r="X133" s="266">
        <v>140</v>
      </c>
      <c r="Y133" s="279"/>
      <c r="Z133" s="280"/>
      <c r="AA133" s="236"/>
      <c r="AB133" s="236"/>
      <c r="AC133" s="236"/>
      <c r="AD133" s="98"/>
    </row>
    <row r="134" ht="15.9" customHeight="1" outlineLevel="2" spans="2:30">
      <c r="B134" s="194" t="s">
        <v>622</v>
      </c>
      <c r="C134" s="107" t="s">
        <v>2465</v>
      </c>
      <c r="D134" s="65" t="s">
        <v>2427</v>
      </c>
      <c r="E134" s="296">
        <f>E133</f>
        <v>26</v>
      </c>
      <c r="F134" s="108" t="s">
        <v>1861</v>
      </c>
      <c r="G134" s="203" t="e">
        <f t="shared" si="35"/>
        <v>#REF!</v>
      </c>
      <c r="H134" s="108" t="e">
        <f>#REF!</f>
        <v>#REF!</v>
      </c>
      <c r="I134" s="116" t="e">
        <f t="shared" si="36"/>
        <v>#REF!</v>
      </c>
      <c r="J134" s="116"/>
      <c r="K134" s="236" t="s">
        <v>2455</v>
      </c>
      <c r="L134" s="222" t="str">
        <f t="shared" si="37"/>
        <v>C</v>
      </c>
      <c r="M134" s="238">
        <v>127</v>
      </c>
      <c r="P134" s="232"/>
      <c r="Q134" s="263"/>
      <c r="R134" s="263">
        <v>15</v>
      </c>
      <c r="S134" s="263">
        <v>12</v>
      </c>
      <c r="T134" s="264"/>
      <c r="U134" s="265"/>
      <c r="V134" s="266"/>
      <c r="W134" s="266"/>
      <c r="X134" s="266">
        <v>200</v>
      </c>
      <c r="Y134" s="279"/>
      <c r="Z134" s="280"/>
      <c r="AA134" s="236"/>
      <c r="AB134" s="236"/>
      <c r="AC134" s="236"/>
      <c r="AD134" s="98"/>
    </row>
    <row r="135" ht="15.9" customHeight="1" outlineLevel="2" spans="2:30">
      <c r="B135" s="194" t="s">
        <v>622</v>
      </c>
      <c r="C135" s="107" t="s">
        <v>2466</v>
      </c>
      <c r="D135" s="65" t="s">
        <v>2427</v>
      </c>
      <c r="E135" s="296">
        <f>E133*3</f>
        <v>78</v>
      </c>
      <c r="F135" s="108" t="s">
        <v>1861</v>
      </c>
      <c r="G135" s="203" t="e">
        <f t="shared" si="35"/>
        <v>#REF!</v>
      </c>
      <c r="H135" s="108" t="e">
        <f>#REF!</f>
        <v>#REF!</v>
      </c>
      <c r="I135" s="116" t="e">
        <f t="shared" si="36"/>
        <v>#REF!</v>
      </c>
      <c r="J135" s="116"/>
      <c r="K135" s="236" t="s">
        <v>2455</v>
      </c>
      <c r="L135" s="222" t="str">
        <f t="shared" si="37"/>
        <v>C</v>
      </c>
      <c r="M135" s="238">
        <v>128</v>
      </c>
      <c r="P135" s="232"/>
      <c r="Q135" s="263"/>
      <c r="R135" s="263">
        <v>50</v>
      </c>
      <c r="S135" s="263">
        <v>45</v>
      </c>
      <c r="T135" s="264"/>
      <c r="U135" s="265"/>
      <c r="V135" s="266"/>
      <c r="W135" s="266"/>
      <c r="X135" s="266">
        <v>100</v>
      </c>
      <c r="Y135" s="279"/>
      <c r="Z135" s="280"/>
      <c r="AA135" s="236"/>
      <c r="AB135" s="236"/>
      <c r="AC135" s="236"/>
      <c r="AD135" s="98"/>
    </row>
    <row r="136" ht="15.9" customHeight="1" outlineLevel="2" spans="2:30">
      <c r="B136" s="194" t="s">
        <v>622</v>
      </c>
      <c r="C136" s="107" t="s">
        <v>2467</v>
      </c>
      <c r="D136" s="65" t="s">
        <v>2427</v>
      </c>
      <c r="E136" s="296">
        <v>90</v>
      </c>
      <c r="F136" s="108" t="s">
        <v>1861</v>
      </c>
      <c r="G136" s="203" t="e">
        <f t="shared" si="35"/>
        <v>#REF!</v>
      </c>
      <c r="H136" s="108" t="e">
        <f>#REF!</f>
        <v>#REF!</v>
      </c>
      <c r="I136" s="116" t="e">
        <f t="shared" si="36"/>
        <v>#REF!</v>
      </c>
      <c r="J136" s="116"/>
      <c r="K136" s="236" t="s">
        <v>2455</v>
      </c>
      <c r="L136" s="222" t="str">
        <f t="shared" si="37"/>
        <v>C</v>
      </c>
      <c r="M136" s="238">
        <v>129</v>
      </c>
      <c r="P136" s="232"/>
      <c r="Q136" s="263"/>
      <c r="R136" s="263"/>
      <c r="S136" s="263">
        <v>20</v>
      </c>
      <c r="T136" s="264"/>
      <c r="U136" s="265"/>
      <c r="V136" s="266"/>
      <c r="W136" s="266"/>
      <c r="X136" s="266">
        <v>110</v>
      </c>
      <c r="Y136" s="279"/>
      <c r="Z136" s="280"/>
      <c r="AA136" s="236"/>
      <c r="AB136" s="236"/>
      <c r="AC136" s="236"/>
      <c r="AD136" s="98"/>
    </row>
    <row r="137" ht="15.9" customHeight="1" outlineLevel="2" spans="2:30">
      <c r="B137" s="194" t="s">
        <v>622</v>
      </c>
      <c r="C137" s="107" t="s">
        <v>2468</v>
      </c>
      <c r="D137" s="65" t="s">
        <v>2427</v>
      </c>
      <c r="E137" s="296">
        <v>100</v>
      </c>
      <c r="F137" s="108" t="s">
        <v>1861</v>
      </c>
      <c r="G137" s="203" t="e">
        <f t="shared" si="35"/>
        <v>#REF!</v>
      </c>
      <c r="H137" s="108" t="e">
        <f>#REF!</f>
        <v>#REF!</v>
      </c>
      <c r="I137" s="116" t="e">
        <f t="shared" si="36"/>
        <v>#REF!</v>
      </c>
      <c r="J137" s="116"/>
      <c r="K137" s="236" t="s">
        <v>2455</v>
      </c>
      <c r="L137" s="222" t="str">
        <f t="shared" si="37"/>
        <v>C</v>
      </c>
      <c r="M137" s="238">
        <v>130</v>
      </c>
      <c r="P137" s="232"/>
      <c r="Q137" s="263"/>
      <c r="R137" s="263"/>
      <c r="S137" s="263">
        <v>20</v>
      </c>
      <c r="T137" s="264"/>
      <c r="U137" s="265"/>
      <c r="V137" s="266"/>
      <c r="W137" s="266"/>
      <c r="X137" s="266">
        <v>140</v>
      </c>
      <c r="Y137" s="279"/>
      <c r="Z137" s="280"/>
      <c r="AA137" s="236"/>
      <c r="AB137" s="236"/>
      <c r="AC137" s="236"/>
      <c r="AD137" s="98"/>
    </row>
    <row r="138" ht="15.9" customHeight="1" outlineLevel="2" spans="2:30">
      <c r="B138" s="194" t="s">
        <v>622</v>
      </c>
      <c r="C138" s="107" t="s">
        <v>2469</v>
      </c>
      <c r="D138" s="65" t="s">
        <v>2427</v>
      </c>
      <c r="E138" s="296">
        <f>E136*3</f>
        <v>270</v>
      </c>
      <c r="F138" s="108" t="s">
        <v>1861</v>
      </c>
      <c r="G138" s="203" t="e">
        <f t="shared" si="35"/>
        <v>#REF!</v>
      </c>
      <c r="H138" s="108" t="e">
        <f>#REF!</f>
        <v>#REF!</v>
      </c>
      <c r="I138" s="116" t="e">
        <f t="shared" si="36"/>
        <v>#REF!</v>
      </c>
      <c r="J138" s="116"/>
      <c r="K138" s="236" t="s">
        <v>2455</v>
      </c>
      <c r="L138" s="222" t="str">
        <f t="shared" si="37"/>
        <v>C</v>
      </c>
      <c r="M138" s="238">
        <v>131</v>
      </c>
      <c r="P138" s="232"/>
      <c r="Q138" s="263"/>
      <c r="R138" s="263"/>
      <c r="S138" s="263">
        <v>90</v>
      </c>
      <c r="T138" s="264"/>
      <c r="U138" s="265"/>
      <c r="V138" s="266"/>
      <c r="W138" s="266"/>
      <c r="X138" s="266">
        <v>20</v>
      </c>
      <c r="Y138" s="279"/>
      <c r="Z138" s="280"/>
      <c r="AA138" s="236"/>
      <c r="AB138" s="236"/>
      <c r="AC138" s="236"/>
      <c r="AD138" s="98"/>
    </row>
    <row r="139" ht="15.9" customHeight="1" spans="2:30">
      <c r="B139" s="125" t="s">
        <v>791</v>
      </c>
      <c r="C139" s="126" t="s">
        <v>1874</v>
      </c>
      <c r="D139" s="302"/>
      <c r="E139" s="302"/>
      <c r="F139" s="303"/>
      <c r="G139" s="303"/>
      <c r="H139" s="303"/>
      <c r="I139" s="310"/>
      <c r="J139" s="310"/>
      <c r="K139" s="309"/>
      <c r="L139" s="231"/>
      <c r="M139" s="238">
        <v>132</v>
      </c>
      <c r="P139" s="232"/>
      <c r="Q139" s="263"/>
      <c r="R139" s="263"/>
      <c r="S139" s="263"/>
      <c r="T139" s="264"/>
      <c r="U139" s="265"/>
      <c r="V139" s="266"/>
      <c r="W139" s="266"/>
      <c r="X139" s="266"/>
      <c r="Y139" s="279"/>
      <c r="Z139" s="280"/>
      <c r="AA139" s="236"/>
      <c r="AB139" s="236"/>
      <c r="AC139" s="236"/>
      <c r="AD139" s="98"/>
    </row>
    <row r="140" ht="15.9" customHeight="1" spans="2:30">
      <c r="B140" s="125" t="s">
        <v>794</v>
      </c>
      <c r="C140" s="126" t="s">
        <v>1876</v>
      </c>
      <c r="D140" s="302"/>
      <c r="E140" s="302"/>
      <c r="F140" s="303"/>
      <c r="G140" s="303"/>
      <c r="H140" s="303"/>
      <c r="I140" s="310"/>
      <c r="J140" s="310"/>
      <c r="K140" s="309"/>
      <c r="L140" s="231"/>
      <c r="M140" s="238">
        <v>133</v>
      </c>
      <c r="P140" s="232"/>
      <c r="Q140" s="263"/>
      <c r="R140" s="263"/>
      <c r="S140" s="263"/>
      <c r="T140" s="264"/>
      <c r="U140" s="265"/>
      <c r="V140" s="266"/>
      <c r="W140" s="266"/>
      <c r="X140" s="266"/>
      <c r="Y140" s="279"/>
      <c r="Z140" s="280"/>
      <c r="AA140" s="236"/>
      <c r="AB140" s="236"/>
      <c r="AC140" s="236"/>
      <c r="AD140" s="98"/>
    </row>
    <row r="141" ht="15.9" customHeight="1" spans="2:30">
      <c r="B141" s="125" t="s">
        <v>797</v>
      </c>
      <c r="C141" s="126" t="s">
        <v>1878</v>
      </c>
      <c r="D141" s="302"/>
      <c r="E141" s="302"/>
      <c r="F141" s="303"/>
      <c r="G141" s="303"/>
      <c r="H141" s="303"/>
      <c r="I141" s="310"/>
      <c r="J141" s="310"/>
      <c r="K141" s="309"/>
      <c r="L141" s="231"/>
      <c r="M141" s="238">
        <v>134</v>
      </c>
      <c r="P141" s="232"/>
      <c r="Q141" s="263"/>
      <c r="R141" s="263"/>
      <c r="S141" s="263"/>
      <c r="T141" s="264"/>
      <c r="U141" s="265"/>
      <c r="V141" s="266"/>
      <c r="W141" s="266"/>
      <c r="X141" s="266"/>
      <c r="Y141" s="279"/>
      <c r="Z141" s="280"/>
      <c r="AA141" s="236"/>
      <c r="AB141" s="236"/>
      <c r="AC141" s="236"/>
      <c r="AD141" s="98"/>
    </row>
    <row r="142" ht="15.9" customHeight="1" spans="2:30">
      <c r="B142" s="125" t="s">
        <v>1519</v>
      </c>
      <c r="C142" s="126" t="s">
        <v>2313</v>
      </c>
      <c r="D142" s="302"/>
      <c r="E142" s="302"/>
      <c r="F142" s="303"/>
      <c r="G142" s="303"/>
      <c r="H142" s="303"/>
      <c r="I142" s="310"/>
      <c r="J142" s="310"/>
      <c r="K142" s="309"/>
      <c r="L142" s="231"/>
      <c r="M142" s="238">
        <v>135</v>
      </c>
      <c r="P142" s="232"/>
      <c r="Q142" s="263"/>
      <c r="R142" s="263"/>
      <c r="S142" s="263"/>
      <c r="T142" s="264"/>
      <c r="U142" s="265"/>
      <c r="V142" s="266"/>
      <c r="W142" s="266"/>
      <c r="X142" s="266"/>
      <c r="Y142" s="279"/>
      <c r="Z142" s="280"/>
      <c r="AA142" s="236"/>
      <c r="AB142" s="236"/>
      <c r="AC142" s="236"/>
      <c r="AD142" s="98"/>
    </row>
    <row r="143" ht="15.9" customHeight="1" spans="2:30">
      <c r="B143" s="120">
        <v>3</v>
      </c>
      <c r="C143" s="121" t="s">
        <v>1705</v>
      </c>
      <c r="D143" s="193"/>
      <c r="E143" s="193">
        <v>1</v>
      </c>
      <c r="F143" s="155"/>
      <c r="G143" s="155" t="e">
        <f>D5</f>
        <v>#REF!</v>
      </c>
      <c r="H143" s="155">
        <v>680</v>
      </c>
      <c r="I143" s="156" t="e">
        <f>E143*G143*H143/10000</f>
        <v>#REF!</v>
      </c>
      <c r="J143" s="156" t="e">
        <f>IF(I143=0,"",IF(#REF!=0,"",I143*10000/#REF!))</f>
        <v>#REF!</v>
      </c>
      <c r="K143" s="317"/>
      <c r="L143" s="234"/>
      <c r="M143" s="238">
        <v>136</v>
      </c>
      <c r="P143" s="232"/>
      <c r="Q143" s="263"/>
      <c r="R143" s="263"/>
      <c r="S143" s="263"/>
      <c r="T143" s="264"/>
      <c r="U143" s="265"/>
      <c r="V143" s="266"/>
      <c r="W143" s="266"/>
      <c r="X143" s="266"/>
      <c r="Y143" s="279"/>
      <c r="Z143" s="280"/>
      <c r="AA143" s="236"/>
      <c r="AB143" s="236"/>
      <c r="AC143" s="236"/>
      <c r="AD143" s="98"/>
    </row>
    <row r="144" ht="15.9" customHeight="1" spans="2:30">
      <c r="B144" s="125" t="s">
        <v>619</v>
      </c>
      <c r="C144" s="126" t="s">
        <v>1705</v>
      </c>
      <c r="D144" s="302"/>
      <c r="E144" s="302"/>
      <c r="F144" s="303"/>
      <c r="G144" s="303"/>
      <c r="H144" s="303"/>
      <c r="I144" s="310"/>
      <c r="J144" s="310"/>
      <c r="K144" s="309"/>
      <c r="L144" s="231"/>
      <c r="M144" s="238">
        <v>137</v>
      </c>
      <c r="P144" s="232"/>
      <c r="Q144" s="263"/>
      <c r="R144" s="263"/>
      <c r="S144" s="263"/>
      <c r="T144" s="264"/>
      <c r="U144" s="265"/>
      <c r="V144" s="266"/>
      <c r="W144" s="266"/>
      <c r="X144" s="266"/>
      <c r="Y144" s="279"/>
      <c r="Z144" s="280"/>
      <c r="AA144" s="236"/>
      <c r="AB144" s="236"/>
      <c r="AC144" s="236"/>
      <c r="AD144" s="98"/>
    </row>
    <row r="145" ht="15.9" customHeight="1" spans="2:30">
      <c r="B145" s="125" t="s">
        <v>657</v>
      </c>
      <c r="C145" s="126" t="s">
        <v>2314</v>
      </c>
      <c r="D145" s="302"/>
      <c r="E145" s="302"/>
      <c r="F145" s="303"/>
      <c r="G145" s="303"/>
      <c r="H145" s="303"/>
      <c r="I145" s="310"/>
      <c r="J145" s="310"/>
      <c r="K145" s="309"/>
      <c r="L145" s="231"/>
      <c r="M145" s="238">
        <v>138</v>
      </c>
      <c r="P145" s="232"/>
      <c r="Q145" s="263"/>
      <c r="R145" s="263"/>
      <c r="S145" s="263"/>
      <c r="T145" s="264"/>
      <c r="U145" s="265"/>
      <c r="V145" s="266"/>
      <c r="W145" s="266"/>
      <c r="X145" s="266"/>
      <c r="Y145" s="279"/>
      <c r="Z145" s="280"/>
      <c r="AA145" s="236"/>
      <c r="AB145" s="236"/>
      <c r="AC145" s="236"/>
      <c r="AD145" s="98"/>
    </row>
    <row r="146" ht="15.9" customHeight="1" spans="2:30">
      <c r="B146" s="125" t="s">
        <v>762</v>
      </c>
      <c r="C146" s="126" t="s">
        <v>2315</v>
      </c>
      <c r="D146" s="302"/>
      <c r="E146" s="302"/>
      <c r="F146" s="303"/>
      <c r="G146" s="303"/>
      <c r="H146" s="303"/>
      <c r="I146" s="310"/>
      <c r="J146" s="310"/>
      <c r="K146" s="309"/>
      <c r="L146" s="231"/>
      <c r="M146" s="238">
        <v>139</v>
      </c>
      <c r="P146" s="232"/>
      <c r="Q146" s="263"/>
      <c r="R146" s="263"/>
      <c r="S146" s="263"/>
      <c r="T146" s="264"/>
      <c r="U146" s="265"/>
      <c r="V146" s="266"/>
      <c r="W146" s="266"/>
      <c r="X146" s="266"/>
      <c r="Y146" s="279"/>
      <c r="Z146" s="280"/>
      <c r="AA146" s="236"/>
      <c r="AB146" s="236"/>
      <c r="AC146" s="236"/>
      <c r="AD146" s="98"/>
    </row>
    <row r="147" ht="15.9" customHeight="1" spans="2:30">
      <c r="B147" s="120">
        <v>4</v>
      </c>
      <c r="C147" s="121" t="s">
        <v>554</v>
      </c>
      <c r="D147" s="193"/>
      <c r="E147" s="193"/>
      <c r="F147" s="155"/>
      <c r="G147" s="155"/>
      <c r="H147" s="155"/>
      <c r="I147" s="156" t="e">
        <f>I149+I150+I151+I152+I153+I154</f>
        <v>#REF!</v>
      </c>
      <c r="J147" s="156" t="e">
        <f>IF(I147=0,"",IF(#REF!=0,"",I147*10000/#REF!))</f>
        <v>#REF!</v>
      </c>
      <c r="K147" s="233"/>
      <c r="L147" s="234"/>
      <c r="M147" s="238">
        <v>140</v>
      </c>
      <c r="P147" s="232"/>
      <c r="Q147" s="263"/>
      <c r="R147" s="263"/>
      <c r="S147" s="263"/>
      <c r="T147" s="264"/>
      <c r="U147" s="265"/>
      <c r="V147" s="266"/>
      <c r="W147" s="266"/>
      <c r="X147" s="266"/>
      <c r="Y147" s="279"/>
      <c r="Z147" s="280"/>
      <c r="AA147" s="236"/>
      <c r="AB147" s="236"/>
      <c r="AC147" s="236"/>
      <c r="AD147" s="98"/>
    </row>
    <row r="148" ht="15.9" customHeight="1" spans="2:30">
      <c r="B148" s="125" t="s">
        <v>619</v>
      </c>
      <c r="C148" s="126" t="s">
        <v>2316</v>
      </c>
      <c r="D148" s="302"/>
      <c r="E148" s="302"/>
      <c r="F148" s="303"/>
      <c r="G148" s="303"/>
      <c r="H148" s="303"/>
      <c r="I148" s="310"/>
      <c r="J148" s="310"/>
      <c r="K148" s="309"/>
      <c r="L148" s="231"/>
      <c r="M148" s="238">
        <v>141</v>
      </c>
      <c r="P148" s="232"/>
      <c r="Q148" s="263"/>
      <c r="R148" s="263"/>
      <c r="S148" s="263"/>
      <c r="T148" s="264"/>
      <c r="U148" s="265"/>
      <c r="V148" s="266"/>
      <c r="W148" s="266"/>
      <c r="X148" s="266"/>
      <c r="Y148" s="279"/>
      <c r="Z148" s="280"/>
      <c r="AA148" s="236"/>
      <c r="AB148" s="236"/>
      <c r="AC148" s="236"/>
      <c r="AD148" s="98"/>
    </row>
    <row r="149" ht="15.9" customHeight="1" outlineLevel="1" spans="2:30">
      <c r="B149" s="194" t="s">
        <v>622</v>
      </c>
      <c r="C149" s="314" t="s">
        <v>2471</v>
      </c>
      <c r="D149" s="65" t="s">
        <v>2408</v>
      </c>
      <c r="E149" s="65">
        <v>1</v>
      </c>
      <c r="F149" s="108" t="s">
        <v>1826</v>
      </c>
      <c r="G149" s="108" t="e">
        <f>$I$5</f>
        <v>#REF!</v>
      </c>
      <c r="H149" s="108">
        <f t="shared" ref="H149:H154" si="38">HLOOKUP(L149,$U$8:$Y$173,M149,FALSE)</f>
        <v>200</v>
      </c>
      <c r="I149" s="306" t="e">
        <f t="shared" ref="I149:I154" si="39">E149*G149*H149/10000</f>
        <v>#REF!</v>
      </c>
      <c r="J149" s="306" t="e">
        <f>IF(I149=0,"",IF(#REF!=0,"",I149*10000/#REF!))</f>
        <v>#REF!</v>
      </c>
      <c r="K149" s="236"/>
      <c r="L149" s="222" t="str">
        <f t="shared" ref="L149:L154" si="40">$I$2</f>
        <v>C</v>
      </c>
      <c r="M149" s="238">
        <v>142</v>
      </c>
      <c r="P149" s="232"/>
      <c r="Q149" s="263"/>
      <c r="R149" s="263"/>
      <c r="S149" s="263"/>
      <c r="T149" s="264"/>
      <c r="U149" s="265"/>
      <c r="V149" s="266"/>
      <c r="W149" s="266"/>
      <c r="X149" s="266">
        <v>200</v>
      </c>
      <c r="Y149" s="279">
        <v>100</v>
      </c>
      <c r="Z149" s="280"/>
      <c r="AA149" s="236"/>
      <c r="AB149" s="236"/>
      <c r="AC149" s="236"/>
      <c r="AD149" s="98"/>
    </row>
    <row r="150" ht="15.9" customHeight="1" outlineLevel="1" spans="2:30">
      <c r="B150" s="194" t="s">
        <v>622</v>
      </c>
      <c r="C150" s="314" t="s">
        <v>2472</v>
      </c>
      <c r="D150" s="65"/>
      <c r="E150" s="65">
        <v>1</v>
      </c>
      <c r="F150" s="108"/>
      <c r="G150" s="108" t="e">
        <f>$I$5</f>
        <v>#REF!</v>
      </c>
      <c r="H150" s="108">
        <f t="shared" si="38"/>
        <v>0</v>
      </c>
      <c r="I150" s="306" t="e">
        <f t="shared" si="39"/>
        <v>#REF!</v>
      </c>
      <c r="J150" s="306" t="s">
        <v>511</v>
      </c>
      <c r="K150" s="236"/>
      <c r="L150" s="222" t="str">
        <f t="shared" si="40"/>
        <v>C</v>
      </c>
      <c r="M150" s="238">
        <v>143</v>
      </c>
      <c r="P150" s="232"/>
      <c r="Q150" s="263"/>
      <c r="R150" s="263"/>
      <c r="S150" s="263"/>
      <c r="T150" s="264"/>
      <c r="U150" s="265"/>
      <c r="V150" s="266"/>
      <c r="W150" s="266"/>
      <c r="X150" s="266"/>
      <c r="Y150" s="279"/>
      <c r="Z150" s="280"/>
      <c r="AA150" s="236"/>
      <c r="AB150" s="236"/>
      <c r="AC150" s="236"/>
      <c r="AD150" s="98"/>
    </row>
    <row r="151" ht="15.9" customHeight="1" outlineLevel="1" spans="2:30">
      <c r="B151" s="194" t="s">
        <v>622</v>
      </c>
      <c r="C151" s="314" t="s">
        <v>2473</v>
      </c>
      <c r="D151" s="65"/>
      <c r="E151" s="65">
        <v>1</v>
      </c>
      <c r="F151" s="108"/>
      <c r="G151" s="108" t="e">
        <f>$I$5</f>
        <v>#REF!</v>
      </c>
      <c r="H151" s="108">
        <f t="shared" si="38"/>
        <v>0</v>
      </c>
      <c r="I151" s="306" t="e">
        <f t="shared" si="39"/>
        <v>#REF!</v>
      </c>
      <c r="J151" s="306" t="s">
        <v>511</v>
      </c>
      <c r="K151" s="236"/>
      <c r="L151" s="222" t="str">
        <f t="shared" si="40"/>
        <v>C</v>
      </c>
      <c r="M151" s="238">
        <v>144</v>
      </c>
      <c r="P151" s="232"/>
      <c r="Q151" s="263"/>
      <c r="R151" s="263"/>
      <c r="S151" s="263"/>
      <c r="T151" s="264"/>
      <c r="U151" s="265"/>
      <c r="V151" s="266"/>
      <c r="W151" s="266"/>
      <c r="X151" s="266"/>
      <c r="Y151" s="279"/>
      <c r="Z151" s="280"/>
      <c r="AA151" s="236"/>
      <c r="AB151" s="236"/>
      <c r="AC151" s="236"/>
      <c r="AD151" s="98"/>
    </row>
    <row r="152" ht="15.9" customHeight="1" outlineLevel="1" spans="2:30">
      <c r="B152" s="194" t="s">
        <v>622</v>
      </c>
      <c r="C152" s="314" t="s">
        <v>2474</v>
      </c>
      <c r="D152" s="65"/>
      <c r="E152" s="65">
        <v>1</v>
      </c>
      <c r="F152" s="108"/>
      <c r="G152" s="108" t="e">
        <f>$I$5</f>
        <v>#REF!</v>
      </c>
      <c r="H152" s="108">
        <f t="shared" si="38"/>
        <v>0</v>
      </c>
      <c r="I152" s="306" t="e">
        <f t="shared" si="39"/>
        <v>#REF!</v>
      </c>
      <c r="J152" s="306" t="s">
        <v>511</v>
      </c>
      <c r="K152" s="236"/>
      <c r="L152" s="222" t="str">
        <f t="shared" si="40"/>
        <v>C</v>
      </c>
      <c r="M152" s="238">
        <v>145</v>
      </c>
      <c r="P152" s="232"/>
      <c r="Q152" s="263"/>
      <c r="R152" s="263"/>
      <c r="S152" s="263"/>
      <c r="T152" s="264"/>
      <c r="U152" s="265"/>
      <c r="V152" s="266"/>
      <c r="W152" s="266"/>
      <c r="X152" s="266"/>
      <c r="Y152" s="279"/>
      <c r="Z152" s="280"/>
      <c r="AA152" s="236"/>
      <c r="AB152" s="236"/>
      <c r="AC152" s="236"/>
      <c r="AD152" s="98"/>
    </row>
    <row r="153" ht="15.9" customHeight="1" outlineLevel="1" spans="2:30">
      <c r="B153" s="194" t="s">
        <v>622</v>
      </c>
      <c r="C153" s="314" t="s">
        <v>2475</v>
      </c>
      <c r="D153" s="65" t="s">
        <v>2408</v>
      </c>
      <c r="E153" s="65">
        <v>1</v>
      </c>
      <c r="F153" s="108" t="s">
        <v>1826</v>
      </c>
      <c r="G153" s="108" t="e">
        <f>$I$5</f>
        <v>#REF!</v>
      </c>
      <c r="H153" s="108">
        <f t="shared" si="38"/>
        <v>900</v>
      </c>
      <c r="I153" s="306" t="e">
        <f t="shared" si="39"/>
        <v>#REF!</v>
      </c>
      <c r="J153" s="306" t="e">
        <f>IF(I153=0,"",IF(#REF!=0,"",I153*10000/#REF!))</f>
        <v>#REF!</v>
      </c>
      <c r="K153" s="236"/>
      <c r="L153" s="222" t="str">
        <f t="shared" si="40"/>
        <v>C</v>
      </c>
      <c r="M153" s="238">
        <v>146</v>
      </c>
      <c r="P153" s="232"/>
      <c r="Q153" s="263"/>
      <c r="R153" s="263"/>
      <c r="S153" s="263"/>
      <c r="T153" s="264"/>
      <c r="U153" s="265"/>
      <c r="V153" s="266"/>
      <c r="W153" s="266"/>
      <c r="X153" s="266">
        <v>900</v>
      </c>
      <c r="Y153" s="279"/>
      <c r="Z153" s="280"/>
      <c r="AA153" s="236"/>
      <c r="AB153" s="236"/>
      <c r="AC153" s="236"/>
      <c r="AD153" s="98"/>
    </row>
    <row r="154" ht="15.9" customHeight="1" outlineLevel="1" spans="2:30">
      <c r="B154" s="194" t="s">
        <v>622</v>
      </c>
      <c r="C154" s="314" t="s">
        <v>2476</v>
      </c>
      <c r="D154" s="65"/>
      <c r="E154" s="65"/>
      <c r="F154" s="108"/>
      <c r="G154" s="108"/>
      <c r="H154" s="112">
        <f t="shared" si="38"/>
        <v>0</v>
      </c>
      <c r="I154" s="306">
        <f t="shared" si="39"/>
        <v>0</v>
      </c>
      <c r="J154" s="306" t="s">
        <v>511</v>
      </c>
      <c r="K154" s="236"/>
      <c r="L154" s="222" t="str">
        <f t="shared" si="40"/>
        <v>C</v>
      </c>
      <c r="M154" s="238">
        <v>147</v>
      </c>
      <c r="P154" s="232"/>
      <c r="Q154" s="263"/>
      <c r="R154" s="263"/>
      <c r="S154" s="263"/>
      <c r="T154" s="264"/>
      <c r="U154" s="265"/>
      <c r="V154" s="266"/>
      <c r="W154" s="266"/>
      <c r="X154" s="266"/>
      <c r="Y154" s="279"/>
      <c r="Z154" s="280"/>
      <c r="AA154" s="236"/>
      <c r="AB154" s="236"/>
      <c r="AC154" s="236"/>
      <c r="AD154" s="98"/>
    </row>
    <row r="155" ht="15.9" customHeight="1" outlineLevel="1" spans="2:30">
      <c r="B155" s="194" t="s">
        <v>622</v>
      </c>
      <c r="C155" s="314" t="s">
        <v>546</v>
      </c>
      <c r="D155" s="65"/>
      <c r="E155" s="65"/>
      <c r="F155" s="108"/>
      <c r="G155" s="108"/>
      <c r="H155" s="112"/>
      <c r="I155" s="306"/>
      <c r="J155" s="306"/>
      <c r="K155" s="236"/>
      <c r="L155" s="222"/>
      <c r="M155" s="238">
        <v>148</v>
      </c>
      <c r="P155" s="232"/>
      <c r="Q155" s="263"/>
      <c r="R155" s="263"/>
      <c r="S155" s="263"/>
      <c r="T155" s="264"/>
      <c r="U155" s="265"/>
      <c r="V155" s="266"/>
      <c r="W155" s="266"/>
      <c r="X155" s="266"/>
      <c r="Y155" s="279"/>
      <c r="Z155" s="280"/>
      <c r="AA155" s="236"/>
      <c r="AB155" s="236"/>
      <c r="AC155" s="236"/>
      <c r="AD155" s="98"/>
    </row>
    <row r="156" ht="15.9" customHeight="1" spans="2:30">
      <c r="B156" s="125" t="s">
        <v>657</v>
      </c>
      <c r="C156" s="126" t="s">
        <v>2317</v>
      </c>
      <c r="D156" s="302"/>
      <c r="E156" s="302"/>
      <c r="F156" s="303"/>
      <c r="G156" s="303"/>
      <c r="H156" s="303"/>
      <c r="I156" s="310"/>
      <c r="J156" s="310"/>
      <c r="K156" s="309"/>
      <c r="L156" s="231"/>
      <c r="M156" s="238">
        <v>149</v>
      </c>
      <c r="P156" s="232"/>
      <c r="Q156" s="263"/>
      <c r="R156" s="263"/>
      <c r="S156" s="263"/>
      <c r="T156" s="264"/>
      <c r="U156" s="265"/>
      <c r="V156" s="266"/>
      <c r="W156" s="266"/>
      <c r="X156" s="266"/>
      <c r="Y156" s="279"/>
      <c r="Z156" s="280"/>
      <c r="AA156" s="236"/>
      <c r="AB156" s="236"/>
      <c r="AC156" s="236"/>
      <c r="AD156" s="98"/>
    </row>
    <row r="157" ht="15.9" customHeight="1" spans="2:30">
      <c r="B157" s="125" t="s">
        <v>762</v>
      </c>
      <c r="C157" s="126" t="s">
        <v>2318</v>
      </c>
      <c r="D157" s="302"/>
      <c r="E157" s="302"/>
      <c r="F157" s="303"/>
      <c r="G157" s="303"/>
      <c r="H157" s="303"/>
      <c r="I157" s="310"/>
      <c r="J157" s="310"/>
      <c r="K157" s="309"/>
      <c r="L157" s="231"/>
      <c r="M157" s="238">
        <v>150</v>
      </c>
      <c r="P157" s="232"/>
      <c r="Q157" s="263"/>
      <c r="R157" s="263"/>
      <c r="S157" s="263"/>
      <c r="T157" s="264"/>
      <c r="U157" s="265"/>
      <c r="V157" s="266"/>
      <c r="W157" s="266"/>
      <c r="X157" s="266"/>
      <c r="Y157" s="279"/>
      <c r="Z157" s="280"/>
      <c r="AA157" s="236"/>
      <c r="AB157" s="236"/>
      <c r="AC157" s="236"/>
      <c r="AD157" s="98"/>
    </row>
    <row r="158" ht="15.9" customHeight="1" spans="2:30">
      <c r="B158" s="120">
        <v>5</v>
      </c>
      <c r="C158" s="121" t="s">
        <v>556</v>
      </c>
      <c r="D158" s="193"/>
      <c r="E158" s="193"/>
      <c r="F158" s="155"/>
      <c r="G158" s="155"/>
      <c r="H158" s="155"/>
      <c r="I158" s="156"/>
      <c r="J158" s="156" t="str">
        <f>IF(I158=0,"",IF(#REF!=0,"",I158*10000/#REF!))</f>
        <v/>
      </c>
      <c r="K158" s="233"/>
      <c r="L158" s="234"/>
      <c r="M158" s="238">
        <v>151</v>
      </c>
      <c r="P158" s="232"/>
      <c r="Q158" s="263"/>
      <c r="R158" s="263"/>
      <c r="S158" s="263"/>
      <c r="T158" s="264"/>
      <c r="U158" s="265"/>
      <c r="V158" s="266"/>
      <c r="W158" s="266"/>
      <c r="X158" s="266"/>
      <c r="Y158" s="279"/>
      <c r="Z158" s="280"/>
      <c r="AA158" s="236"/>
      <c r="AB158" s="236"/>
      <c r="AC158" s="236"/>
      <c r="AD158" s="98"/>
    </row>
    <row r="159" ht="15.9" hidden="1" customHeight="1" outlineLevel="1" spans="2:30">
      <c r="B159" s="125" t="s">
        <v>619</v>
      </c>
      <c r="C159" s="315" t="s">
        <v>2319</v>
      </c>
      <c r="D159" s="290"/>
      <c r="E159" s="291"/>
      <c r="F159" s="292"/>
      <c r="G159" s="292"/>
      <c r="H159" s="293"/>
      <c r="I159" s="307"/>
      <c r="J159" s="307"/>
      <c r="K159" s="309"/>
      <c r="L159" s="237"/>
      <c r="M159" s="238">
        <v>152</v>
      </c>
      <c r="P159" s="232"/>
      <c r="Q159" s="263"/>
      <c r="R159" s="263"/>
      <c r="S159" s="263"/>
      <c r="T159" s="264"/>
      <c r="U159" s="265"/>
      <c r="V159" s="266"/>
      <c r="W159" s="266"/>
      <c r="X159" s="266"/>
      <c r="Y159" s="279"/>
      <c r="Z159" s="280"/>
      <c r="AA159" s="236"/>
      <c r="AB159" s="236"/>
      <c r="AC159" s="236"/>
      <c r="AD159" s="98"/>
    </row>
    <row r="160" ht="15.9" hidden="1" customHeight="1" outlineLevel="1" spans="2:30">
      <c r="B160" s="125" t="s">
        <v>657</v>
      </c>
      <c r="C160" s="315" t="s">
        <v>1904</v>
      </c>
      <c r="D160" s="290"/>
      <c r="E160" s="291"/>
      <c r="F160" s="292"/>
      <c r="G160" s="292"/>
      <c r="H160" s="293"/>
      <c r="I160" s="307"/>
      <c r="J160" s="307"/>
      <c r="K160" s="309"/>
      <c r="L160" s="237"/>
      <c r="M160" s="238">
        <v>153</v>
      </c>
      <c r="P160" s="232"/>
      <c r="Q160" s="263"/>
      <c r="R160" s="263"/>
      <c r="S160" s="263"/>
      <c r="T160" s="264"/>
      <c r="U160" s="265"/>
      <c r="V160" s="266"/>
      <c r="W160" s="266"/>
      <c r="X160" s="266"/>
      <c r="Y160" s="279"/>
      <c r="Z160" s="280"/>
      <c r="AA160" s="236"/>
      <c r="AB160" s="236"/>
      <c r="AC160" s="236"/>
      <c r="AD160" s="98"/>
    </row>
    <row r="161" ht="15.9" hidden="1" customHeight="1" outlineLevel="2" spans="2:30">
      <c r="B161" s="125" t="s">
        <v>762</v>
      </c>
      <c r="C161" s="315" t="s">
        <v>1906</v>
      </c>
      <c r="D161" s="290"/>
      <c r="E161" s="291"/>
      <c r="F161" s="292"/>
      <c r="G161" s="292"/>
      <c r="H161" s="293"/>
      <c r="I161" s="307"/>
      <c r="J161" s="307"/>
      <c r="K161" s="309"/>
      <c r="L161" s="222"/>
      <c r="M161" s="238">
        <v>154</v>
      </c>
      <c r="P161" s="232"/>
      <c r="Q161" s="263"/>
      <c r="R161" s="263"/>
      <c r="S161" s="263">
        <v>6.5</v>
      </c>
      <c r="T161" s="264"/>
      <c r="U161" s="265"/>
      <c r="V161" s="266"/>
      <c r="W161" s="266"/>
      <c r="X161" s="266">
        <v>70</v>
      </c>
      <c r="Y161" s="279"/>
      <c r="Z161" s="280"/>
      <c r="AA161" s="236"/>
      <c r="AB161" s="236"/>
      <c r="AC161" s="236"/>
      <c r="AD161" s="98"/>
    </row>
    <row r="162" ht="15.9" customHeight="1" collapsed="1" spans="2:30">
      <c r="B162" s="125" t="s">
        <v>778</v>
      </c>
      <c r="C162" s="315" t="s">
        <v>1908</v>
      </c>
      <c r="D162" s="290"/>
      <c r="E162" s="291"/>
      <c r="F162" s="292"/>
      <c r="G162" s="292"/>
      <c r="H162" s="293"/>
      <c r="I162" s="307"/>
      <c r="J162" s="307"/>
      <c r="K162" s="309"/>
      <c r="L162" s="234"/>
      <c r="M162" s="238">
        <v>155</v>
      </c>
      <c r="P162" s="232"/>
      <c r="Q162" s="263"/>
      <c r="R162" s="263"/>
      <c r="S162" s="263"/>
      <c r="T162" s="264"/>
      <c r="U162" s="265"/>
      <c r="V162" s="266"/>
      <c r="W162" s="266"/>
      <c r="X162" s="266"/>
      <c r="Y162" s="279"/>
      <c r="Z162" s="280"/>
      <c r="AA162" s="236"/>
      <c r="AB162" s="236"/>
      <c r="AC162" s="236"/>
      <c r="AD162" s="98"/>
    </row>
    <row r="163" ht="15.9" hidden="1" customHeight="1" outlineLevel="1" spans="2:30">
      <c r="B163" s="125" t="s">
        <v>781</v>
      </c>
      <c r="C163" s="315" t="s">
        <v>1910</v>
      </c>
      <c r="D163" s="290"/>
      <c r="E163" s="291"/>
      <c r="F163" s="292"/>
      <c r="G163" s="292"/>
      <c r="H163" s="293">
        <f t="shared" ref="H163:H166" si="41">IF(G163=0,0,I163/E163/G163)</f>
        <v>0</v>
      </c>
      <c r="I163" s="307"/>
      <c r="J163" s="307"/>
      <c r="K163" s="309"/>
      <c r="L163" s="318"/>
      <c r="M163" s="238">
        <v>156</v>
      </c>
      <c r="P163" s="232"/>
      <c r="Q163" s="263"/>
      <c r="R163" s="263"/>
      <c r="S163" s="263"/>
      <c r="T163" s="264"/>
      <c r="U163" s="265"/>
      <c r="V163" s="266"/>
      <c r="W163" s="266"/>
      <c r="X163" s="266"/>
      <c r="Y163" s="279"/>
      <c r="Z163" s="280"/>
      <c r="AA163" s="236"/>
      <c r="AB163" s="236"/>
      <c r="AC163" s="236"/>
      <c r="AD163" s="98"/>
    </row>
    <row r="164" ht="15.9" hidden="1" customHeight="1" outlineLevel="1" spans="2:30">
      <c r="B164" s="125" t="s">
        <v>788</v>
      </c>
      <c r="C164" s="315" t="s">
        <v>1914</v>
      </c>
      <c r="D164" s="290"/>
      <c r="E164" s="291"/>
      <c r="F164" s="292"/>
      <c r="G164" s="292"/>
      <c r="H164" s="293">
        <f t="shared" si="41"/>
        <v>0</v>
      </c>
      <c r="I164" s="307"/>
      <c r="J164" s="307" t="s">
        <v>511</v>
      </c>
      <c r="K164" s="309"/>
      <c r="L164" s="318"/>
      <c r="M164" s="238">
        <v>157</v>
      </c>
      <c r="P164" s="232"/>
      <c r="Q164" s="263"/>
      <c r="R164" s="263"/>
      <c r="S164" s="263"/>
      <c r="T164" s="264"/>
      <c r="U164" s="265"/>
      <c r="V164" s="266"/>
      <c r="W164" s="266"/>
      <c r="X164" s="266"/>
      <c r="Y164" s="279"/>
      <c r="Z164" s="280"/>
      <c r="AA164" s="236"/>
      <c r="AB164" s="236"/>
      <c r="AC164" s="236"/>
      <c r="AD164" s="98"/>
    </row>
    <row r="165" ht="15.9" hidden="1" customHeight="1" outlineLevel="1" spans="2:30">
      <c r="B165" s="125" t="s">
        <v>791</v>
      </c>
      <c r="C165" s="315" t="s">
        <v>1781</v>
      </c>
      <c r="D165" s="290"/>
      <c r="E165" s="291"/>
      <c r="F165" s="292"/>
      <c r="G165" s="292"/>
      <c r="H165" s="293">
        <f t="shared" si="41"/>
        <v>0</v>
      </c>
      <c r="I165" s="307"/>
      <c r="J165" s="307" t="s">
        <v>511</v>
      </c>
      <c r="K165" s="309"/>
      <c r="L165" s="318"/>
      <c r="M165" s="238">
        <v>158</v>
      </c>
      <c r="P165" s="232"/>
      <c r="Q165" s="263"/>
      <c r="R165" s="263"/>
      <c r="S165" s="263"/>
      <c r="T165" s="264"/>
      <c r="U165" s="265"/>
      <c r="V165" s="266"/>
      <c r="W165" s="266"/>
      <c r="X165" s="266"/>
      <c r="Y165" s="279"/>
      <c r="Z165" s="280"/>
      <c r="AA165" s="236"/>
      <c r="AB165" s="236"/>
      <c r="AC165" s="236"/>
      <c r="AD165" s="98"/>
    </row>
    <row r="166" ht="15.9" hidden="1" customHeight="1" outlineLevel="1" spans="2:30">
      <c r="B166" s="125" t="s">
        <v>794</v>
      </c>
      <c r="C166" s="315" t="s">
        <v>1916</v>
      </c>
      <c r="D166" s="290"/>
      <c r="E166" s="291"/>
      <c r="F166" s="292"/>
      <c r="G166" s="292"/>
      <c r="H166" s="293">
        <f t="shared" si="41"/>
        <v>0</v>
      </c>
      <c r="I166" s="307"/>
      <c r="J166" s="307" t="s">
        <v>511</v>
      </c>
      <c r="K166" s="309"/>
      <c r="L166" s="318"/>
      <c r="M166" s="238">
        <v>159</v>
      </c>
      <c r="P166" s="232"/>
      <c r="Q166" s="263"/>
      <c r="R166" s="263"/>
      <c r="S166" s="263"/>
      <c r="T166" s="264"/>
      <c r="U166" s="265"/>
      <c r="V166" s="266"/>
      <c r="W166" s="266"/>
      <c r="X166" s="266"/>
      <c r="Y166" s="279"/>
      <c r="Z166" s="280"/>
      <c r="AA166" s="236"/>
      <c r="AB166" s="236"/>
      <c r="AC166" s="236"/>
      <c r="AD166" s="98"/>
    </row>
    <row r="167" ht="15.9" customHeight="1" collapsed="1" spans="2:30">
      <c r="B167" s="125" t="s">
        <v>797</v>
      </c>
      <c r="C167" s="315" t="s">
        <v>1700</v>
      </c>
      <c r="D167" s="290"/>
      <c r="E167" s="291"/>
      <c r="F167" s="292"/>
      <c r="G167" s="292"/>
      <c r="H167" s="293"/>
      <c r="I167" s="307"/>
      <c r="J167" s="307"/>
      <c r="K167" s="309"/>
      <c r="L167" s="231"/>
      <c r="M167" s="238">
        <v>160</v>
      </c>
      <c r="P167" s="232"/>
      <c r="Q167" s="263"/>
      <c r="R167" s="263"/>
      <c r="S167" s="263"/>
      <c r="T167" s="264"/>
      <c r="U167" s="265"/>
      <c r="V167" s="266"/>
      <c r="W167" s="266"/>
      <c r="X167" s="266"/>
      <c r="Y167" s="279"/>
      <c r="Z167" s="280"/>
      <c r="AA167" s="236"/>
      <c r="AB167" s="236"/>
      <c r="AC167" s="236"/>
      <c r="AD167" s="98"/>
    </row>
    <row r="168" ht="15.9" customHeight="1" spans="2:30">
      <c r="B168" s="125" t="s">
        <v>1519</v>
      </c>
      <c r="C168" s="315" t="s">
        <v>1919</v>
      </c>
      <c r="D168" s="290"/>
      <c r="E168" s="291"/>
      <c r="F168" s="292"/>
      <c r="G168" s="292"/>
      <c r="H168" s="293"/>
      <c r="I168" s="307"/>
      <c r="J168" s="307"/>
      <c r="K168" s="309"/>
      <c r="L168" s="234"/>
      <c r="M168" s="238">
        <v>161</v>
      </c>
      <c r="P168" s="232"/>
      <c r="Q168" s="263"/>
      <c r="R168" s="263"/>
      <c r="S168" s="263"/>
      <c r="T168" s="264"/>
      <c r="U168" s="265"/>
      <c r="V168" s="266"/>
      <c r="W168" s="266"/>
      <c r="X168" s="266"/>
      <c r="Y168" s="279"/>
      <c r="Z168" s="280"/>
      <c r="AA168" s="236"/>
      <c r="AB168" s="236"/>
      <c r="AC168" s="236"/>
      <c r="AD168" s="98"/>
    </row>
    <row r="169" ht="15.9" hidden="1" customHeight="1" outlineLevel="1" spans="2:30">
      <c r="B169" s="125" t="s">
        <v>1520</v>
      </c>
      <c r="C169" s="315" t="s">
        <v>1921</v>
      </c>
      <c r="D169" s="290"/>
      <c r="E169" s="291"/>
      <c r="F169" s="292"/>
      <c r="G169" s="292"/>
      <c r="H169" s="293"/>
      <c r="I169" s="307"/>
      <c r="J169" s="307"/>
      <c r="K169" s="309"/>
      <c r="L169" s="237"/>
      <c r="M169" s="238">
        <v>162</v>
      </c>
      <c r="P169" s="232"/>
      <c r="Q169" s="263"/>
      <c r="R169" s="263"/>
      <c r="S169" s="263"/>
      <c r="T169" s="264"/>
      <c r="U169" s="265"/>
      <c r="V169" s="266"/>
      <c r="W169" s="266"/>
      <c r="X169" s="266"/>
      <c r="Y169" s="279"/>
      <c r="Z169" s="280"/>
      <c r="AA169" s="236"/>
      <c r="AB169" s="236"/>
      <c r="AC169" s="236"/>
      <c r="AD169" s="98"/>
    </row>
    <row r="170" ht="15.9" hidden="1" customHeight="1" outlineLevel="3" spans="2:30">
      <c r="B170" s="125" t="s">
        <v>1727</v>
      </c>
      <c r="C170" s="315" t="s">
        <v>546</v>
      </c>
      <c r="D170" s="290"/>
      <c r="E170" s="291"/>
      <c r="F170" s="292"/>
      <c r="G170" s="292"/>
      <c r="H170" s="293"/>
      <c r="I170" s="307"/>
      <c r="J170" s="307"/>
      <c r="K170" s="309"/>
      <c r="L170" s="237"/>
      <c r="M170" s="238">
        <v>163</v>
      </c>
      <c r="P170" s="232"/>
      <c r="Q170" s="263"/>
      <c r="R170" s="263"/>
      <c r="S170" s="263"/>
      <c r="T170" s="264"/>
      <c r="U170" s="265"/>
      <c r="V170" s="266"/>
      <c r="W170" s="266"/>
      <c r="X170" s="266"/>
      <c r="Y170" s="279"/>
      <c r="Z170" s="280"/>
      <c r="AA170" s="236"/>
      <c r="AB170" s="236"/>
      <c r="AC170" s="236"/>
      <c r="AD170" s="98"/>
    </row>
    <row r="171" ht="15.9" customHeight="1" collapsed="1" spans="2:30">
      <c r="B171" s="102" t="s">
        <v>557</v>
      </c>
      <c r="C171" s="103" t="s">
        <v>485</v>
      </c>
      <c r="D171" s="192"/>
      <c r="E171" s="192"/>
      <c r="F171" s="206"/>
      <c r="G171" s="206"/>
      <c r="H171" s="206"/>
      <c r="I171" s="150">
        <f>I172+I193+I218+I222+I233</f>
        <v>0</v>
      </c>
      <c r="J171" s="150" t="str">
        <f>IF(I171=0,"",IF(#REF!=0,"",I171*10000/#REF!))</f>
        <v/>
      </c>
      <c r="K171" s="251"/>
      <c r="L171" s="231"/>
      <c r="M171" s="238">
        <v>164</v>
      </c>
      <c r="P171" s="232"/>
      <c r="Q171" s="263"/>
      <c r="R171" s="263"/>
      <c r="S171" s="263"/>
      <c r="T171" s="264"/>
      <c r="U171" s="265"/>
      <c r="V171" s="266"/>
      <c r="W171" s="266"/>
      <c r="X171" s="266"/>
      <c r="Y171" s="279"/>
      <c r="Z171" s="280"/>
      <c r="AA171" s="236"/>
      <c r="AB171" s="236"/>
      <c r="AC171" s="236"/>
      <c r="AD171" s="98"/>
    </row>
    <row r="172" ht="15.9" customHeight="1" spans="2:30">
      <c r="B172" s="120">
        <v>1</v>
      </c>
      <c r="C172" s="121" t="s">
        <v>2320</v>
      </c>
      <c r="D172" s="193"/>
      <c r="E172" s="154"/>
      <c r="F172" s="155"/>
      <c r="G172" s="155"/>
      <c r="H172" s="155"/>
      <c r="I172" s="156">
        <f>E172*G172*H172/10000</f>
        <v>0</v>
      </c>
      <c r="J172" s="156" t="str">
        <f>IF(I172=0,"",IF(#REF!=0,"",I172*10000/#REF!))</f>
        <v/>
      </c>
      <c r="K172" s="233"/>
      <c r="L172" s="234"/>
      <c r="M172" s="238">
        <v>165</v>
      </c>
      <c r="P172" s="232"/>
      <c r="Q172" s="263"/>
      <c r="R172" s="263"/>
      <c r="S172" s="263"/>
      <c r="T172" s="264"/>
      <c r="U172" s="265"/>
      <c r="V172" s="266"/>
      <c r="W172" s="266"/>
      <c r="X172" s="266"/>
      <c r="Y172" s="279"/>
      <c r="Z172" s="280"/>
      <c r="AA172" s="236"/>
      <c r="AB172" s="236"/>
      <c r="AC172" s="236"/>
      <c r="AD172" s="98"/>
    </row>
    <row r="173" ht="15.9" customHeight="1" spans="2:30">
      <c r="B173" s="120">
        <v>2</v>
      </c>
      <c r="C173" s="121" t="s">
        <v>2321</v>
      </c>
      <c r="D173" s="193"/>
      <c r="E173" s="193"/>
      <c r="F173" s="155"/>
      <c r="G173" s="155"/>
      <c r="H173" s="155"/>
      <c r="I173" s="156"/>
      <c r="J173" s="156" t="s">
        <v>511</v>
      </c>
      <c r="K173" s="233"/>
      <c r="L173" s="234"/>
      <c r="M173" s="238">
        <v>166</v>
      </c>
      <c r="P173" s="232"/>
      <c r="Q173" s="263"/>
      <c r="R173" s="263"/>
      <c r="S173" s="263"/>
      <c r="T173" s="264"/>
      <c r="U173" s="265"/>
      <c r="V173" s="266"/>
      <c r="W173" s="266"/>
      <c r="X173" s="266"/>
      <c r="Y173" s="279"/>
      <c r="Z173" s="280"/>
      <c r="AA173" s="236"/>
      <c r="AB173" s="236"/>
      <c r="AC173" s="236"/>
      <c r="AD173" s="98"/>
    </row>
  </sheetData>
  <mergeCells count="13">
    <mergeCell ref="D1:E1"/>
    <mergeCell ref="P1:T1"/>
    <mergeCell ref="U1:Y1"/>
    <mergeCell ref="Z1:AD1"/>
    <mergeCell ref="G2:H2"/>
    <mergeCell ref="G3:H3"/>
    <mergeCell ref="G4:H4"/>
    <mergeCell ref="G5:H5"/>
    <mergeCell ref="G6:H6"/>
    <mergeCell ref="P7:T7"/>
    <mergeCell ref="U7:Y7"/>
    <mergeCell ref="Z7:AD7"/>
    <mergeCell ref="B3:B6"/>
  </mergeCells>
  <dataValidations count="1">
    <dataValidation type="list" allowBlank="1" showInputMessage="1" showErrorMessage="1" sqref="I2 L60 L81 L127 L161 L24:L27 L29:L34 L36:L41 L43:L44 L46:L47 L49:L50 L71:L72 L77:L78 L86:L93 L95:L102 L104:L105 L107:L108 L110:L111 L113:L117 L120:L123 L129:L131 L133:L138 L149:L155">
      <formula1>$P$8:$T$8</formula1>
    </dataValidation>
  </dataValidations>
  <printOptions horizontalCentered="1"/>
  <pageMargins left="0" right="0" top="0.590277777777778" bottom="0.786805555555556" header="0.118055555555556" footer="0.118055555555556"/>
  <pageSetup paperSize="9" scale="70" orientation="portrait" horizontalDpi="300" verticalDpi="300"/>
  <headerFooter alignWithMargins="0"/>
  <colBreaks count="1" manualBreakCount="1">
    <brk id="14" max="143" man="1"/>
  </colBreaks>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07"/>
  <sheetViews>
    <sheetView topLeftCell="A91" workbookViewId="0">
      <selection activeCell="G93" sqref="G93"/>
    </sheetView>
  </sheetViews>
  <sheetFormatPr defaultColWidth="9" defaultRowHeight="12"/>
  <cols>
    <col min="1" max="1" width="4.6" style="4" customWidth="1"/>
    <col min="2" max="2" width="24.4" style="4" customWidth="1"/>
    <col min="3" max="3" width="16.1" style="5" customWidth="1"/>
    <col min="4" max="5" width="6.1" style="1" customWidth="1"/>
    <col min="6" max="6" width="7.1" style="1" customWidth="1"/>
    <col min="7" max="7" width="8.1" style="1" customWidth="1"/>
    <col min="8" max="8" width="10.5" style="1" customWidth="1"/>
    <col min="9" max="9" width="8.1" style="1" customWidth="1"/>
    <col min="10" max="11" width="8.1" style="1" hidden="1" customWidth="1"/>
    <col min="12" max="12" width="10" style="1" hidden="1" customWidth="1"/>
    <col min="13" max="13" width="8.1" style="1" hidden="1" customWidth="1"/>
    <col min="14" max="14" width="25.4" style="4" customWidth="1"/>
    <col min="15" max="15" width="6.1" style="4" customWidth="1"/>
    <col min="16" max="16384" width="9" style="4"/>
  </cols>
  <sheetData>
    <row r="1" ht="18.15" customHeight="1" spans="2:6">
      <c r="B1" s="6" t="e">
        <f>#REF!</f>
        <v>#REF!</v>
      </c>
      <c r="C1" s="7" t="s">
        <v>1524</v>
      </c>
      <c r="D1" s="7"/>
      <c r="E1" s="7"/>
      <c r="F1" s="7"/>
    </row>
    <row r="2" s="1" customFormat="1" ht="30" customHeight="1" spans="1:14">
      <c r="A2" s="8" t="s">
        <v>21</v>
      </c>
      <c r="B2" s="9" t="s">
        <v>494</v>
      </c>
      <c r="C2" s="9" t="s">
        <v>606</v>
      </c>
      <c r="D2" s="100" t="s">
        <v>607</v>
      </c>
      <c r="E2" s="100" t="s">
        <v>608</v>
      </c>
      <c r="F2" s="100" t="s">
        <v>609</v>
      </c>
      <c r="G2" s="101" t="s">
        <v>2240</v>
      </c>
      <c r="H2" s="52" t="s">
        <v>2241</v>
      </c>
      <c r="I2" s="9" t="s">
        <v>503</v>
      </c>
      <c r="J2" s="51" t="s">
        <v>2242</v>
      </c>
      <c r="K2" s="52" t="s">
        <v>2243</v>
      </c>
      <c r="L2" s="52" t="s">
        <v>2244</v>
      </c>
      <c r="M2" s="53" t="s">
        <v>2245</v>
      </c>
      <c r="N2" s="54" t="s">
        <v>1300</v>
      </c>
    </row>
    <row r="3" s="2" customFormat="1" ht="18.75" customHeight="1" spans="1:14">
      <c r="A3" s="102" t="s">
        <v>533</v>
      </c>
      <c r="B3" s="103" t="s">
        <v>2246</v>
      </c>
      <c r="C3" s="12"/>
      <c r="D3" s="12"/>
      <c r="E3" s="12"/>
      <c r="F3" s="12"/>
      <c r="G3" s="12"/>
      <c r="H3" s="13" t="e">
        <f>H4+H13+H88+H73+H94</f>
        <v>#REF!</v>
      </c>
      <c r="I3" s="13" t="e">
        <f>IF(H3=0,"",IF(#REF!=0,"",H3*10000/#REF!))</f>
        <v>#REF!</v>
      </c>
      <c r="J3" s="55"/>
      <c r="K3" s="55"/>
      <c r="L3" s="55"/>
      <c r="M3" s="55"/>
      <c r="N3" s="56"/>
    </row>
    <row r="4" s="2" customFormat="1" ht="15" customHeight="1" spans="1:14">
      <c r="A4" s="1825" t="s">
        <v>2247</v>
      </c>
      <c r="B4" s="15" t="s">
        <v>2248</v>
      </c>
      <c r="C4" s="104"/>
      <c r="D4" s="104"/>
      <c r="E4" s="104"/>
      <c r="F4" s="105"/>
      <c r="G4" s="104"/>
      <c r="H4" s="106" t="e">
        <f>H5+H8+H9+H12</f>
        <v>#REF!</v>
      </c>
      <c r="I4" s="106" t="e">
        <f>IF(H4=0,"",IF(#REF!=0,"",H4*10000/#REF!))</f>
        <v>#REF!</v>
      </c>
      <c r="J4" s="130"/>
      <c r="K4" s="130"/>
      <c r="L4" s="130"/>
      <c r="M4" s="130"/>
      <c r="N4" s="131"/>
    </row>
    <row r="5" s="2" customFormat="1" ht="15" customHeight="1" spans="1:14">
      <c r="A5" s="19" t="s">
        <v>622</v>
      </c>
      <c r="B5" s="20" t="s">
        <v>2249</v>
      </c>
      <c r="C5" s="22" t="s">
        <v>505</v>
      </c>
      <c r="D5" s="22"/>
      <c r="E5" s="22"/>
      <c r="F5" s="23"/>
      <c r="G5" s="22"/>
      <c r="H5" s="25" t="e">
        <f>SUM(H6:H7)</f>
        <v>#REF!</v>
      </c>
      <c r="I5" s="25" t="e">
        <f>IF(H5=0,"",IF(#REF!=0,"",H5*10000/#REF!))</f>
        <v>#REF!</v>
      </c>
      <c r="J5" s="59"/>
      <c r="K5" s="59"/>
      <c r="L5" s="59"/>
      <c r="M5" s="59"/>
      <c r="N5" s="58"/>
    </row>
    <row r="6" s="2" customFormat="1" ht="15" customHeight="1" spans="1:14">
      <c r="A6" s="19"/>
      <c r="B6" s="107" t="s">
        <v>2396</v>
      </c>
      <c r="C6" s="65" t="s">
        <v>2251</v>
      </c>
      <c r="D6" s="23">
        <v>6</v>
      </c>
      <c r="E6" s="23"/>
      <c r="F6" s="108" t="e">
        <f>#REF!/(#REF!+#REF!)*#REF!</f>
        <v>#REF!</v>
      </c>
      <c r="G6" s="23" t="e">
        <f>#REF!</f>
        <v>#REF!</v>
      </c>
      <c r="H6" s="25" t="e">
        <f t="shared" ref="H6:H8" si="0">F6*G6*D6/10000</f>
        <v>#REF!</v>
      </c>
      <c r="I6" s="25"/>
      <c r="J6" s="59"/>
      <c r="K6" s="59"/>
      <c r="L6" s="59"/>
      <c r="M6" s="59"/>
      <c r="N6" s="58"/>
    </row>
    <row r="7" s="2" customFormat="1" ht="15" customHeight="1" spans="1:14">
      <c r="A7" s="19"/>
      <c r="B7" s="107" t="s">
        <v>2252</v>
      </c>
      <c r="C7" s="65" t="s">
        <v>2251</v>
      </c>
      <c r="D7" s="23">
        <v>2</v>
      </c>
      <c r="E7" s="23"/>
      <c r="F7" s="23" t="e">
        <f>F6</f>
        <v>#REF!</v>
      </c>
      <c r="G7" s="23" t="e">
        <f>#REF!</f>
        <v>#REF!</v>
      </c>
      <c r="H7" s="25" t="e">
        <f t="shared" si="0"/>
        <v>#REF!</v>
      </c>
      <c r="I7" s="25"/>
      <c r="J7" s="59"/>
      <c r="K7" s="59"/>
      <c r="L7" s="59"/>
      <c r="M7" s="59"/>
      <c r="N7" s="58"/>
    </row>
    <row r="8" s="2" customFormat="1" ht="15" customHeight="1" spans="1:14">
      <c r="A8" s="19" t="s">
        <v>622</v>
      </c>
      <c r="B8" s="64" t="s">
        <v>833</v>
      </c>
      <c r="C8" s="22" t="s">
        <v>505</v>
      </c>
      <c r="D8" s="23">
        <v>1</v>
      </c>
      <c r="E8" s="23"/>
      <c r="F8" s="23" t="e">
        <f>#REF!</f>
        <v>#REF!</v>
      </c>
      <c r="G8" s="23">
        <v>55</v>
      </c>
      <c r="H8" s="25" t="e">
        <f t="shared" si="0"/>
        <v>#REF!</v>
      </c>
      <c r="I8" s="25" t="e">
        <f>IF(H8=0,"",IF(#REF!=0,"",H8*10000/#REF!))</f>
        <v>#REF!</v>
      </c>
      <c r="J8" s="59"/>
      <c r="K8" s="59"/>
      <c r="L8" s="59"/>
      <c r="M8" s="59"/>
      <c r="N8" s="58"/>
    </row>
    <row r="9" s="2" customFormat="1" ht="15" customHeight="1" spans="1:14">
      <c r="A9" s="19" t="s">
        <v>622</v>
      </c>
      <c r="B9" s="64" t="s">
        <v>2254</v>
      </c>
      <c r="C9" s="22"/>
      <c r="D9" s="22"/>
      <c r="E9" s="22"/>
      <c r="F9" s="23"/>
      <c r="G9" s="23"/>
      <c r="H9" s="25" t="e">
        <f>SUM(H10:H11)</f>
        <v>#REF!</v>
      </c>
      <c r="I9" s="25" t="e">
        <f>IF(H9=0,"",IF(#REF!=0,"",H9*10000/#REF!))</f>
        <v>#REF!</v>
      </c>
      <c r="J9" s="59"/>
      <c r="K9" s="59"/>
      <c r="L9" s="59"/>
      <c r="M9" s="59"/>
      <c r="N9" s="58"/>
    </row>
    <row r="10" s="2" customFormat="1" ht="15" customHeight="1" spans="1:14">
      <c r="A10" s="19"/>
      <c r="B10" s="107" t="s">
        <v>2255</v>
      </c>
      <c r="C10" s="22" t="s">
        <v>505</v>
      </c>
      <c r="D10" s="23">
        <v>1</v>
      </c>
      <c r="E10" s="23"/>
      <c r="F10" s="23" t="e">
        <f>#REF!</f>
        <v>#REF!</v>
      </c>
      <c r="G10" s="108">
        <v>185</v>
      </c>
      <c r="H10" s="25" t="e">
        <f t="shared" ref="H10:H12" si="1">F10*G10*D10/10000</f>
        <v>#REF!</v>
      </c>
      <c r="I10" s="25"/>
      <c r="J10" s="59"/>
      <c r="K10" s="59"/>
      <c r="L10" s="59"/>
      <c r="M10" s="59"/>
      <c r="N10" s="58"/>
    </row>
    <row r="11" s="2" customFormat="1" ht="15" customHeight="1" spans="1:14">
      <c r="A11" s="19"/>
      <c r="B11" s="107" t="s">
        <v>2256</v>
      </c>
      <c r="C11" s="22" t="s">
        <v>505</v>
      </c>
      <c r="D11" s="23">
        <v>1</v>
      </c>
      <c r="E11" s="23"/>
      <c r="F11" s="23" t="e">
        <f>#REF!</f>
        <v>#REF!</v>
      </c>
      <c r="G11" s="23">
        <v>5</v>
      </c>
      <c r="H11" s="25" t="e">
        <f t="shared" si="1"/>
        <v>#REF!</v>
      </c>
      <c r="I11" s="25"/>
      <c r="J11" s="59"/>
      <c r="K11" s="59"/>
      <c r="L11" s="59"/>
      <c r="M11" s="59"/>
      <c r="N11" s="58"/>
    </row>
    <row r="12" s="2" customFormat="1" ht="15" customHeight="1" spans="1:14">
      <c r="A12" s="19" t="s">
        <v>622</v>
      </c>
      <c r="B12" s="64" t="s">
        <v>849</v>
      </c>
      <c r="C12" s="22" t="s">
        <v>505</v>
      </c>
      <c r="D12" s="23">
        <v>1</v>
      </c>
      <c r="E12" s="23"/>
      <c r="F12" s="23" t="e">
        <f>#REF!</f>
        <v>#REF!</v>
      </c>
      <c r="G12" s="23">
        <v>20</v>
      </c>
      <c r="H12" s="25" t="e">
        <f t="shared" si="1"/>
        <v>#REF!</v>
      </c>
      <c r="I12" s="25" t="e">
        <f>IF(H12=0,"",IF(#REF!=0,"",H12*10000/#REF!))</f>
        <v>#REF!</v>
      </c>
      <c r="J12" s="59"/>
      <c r="K12" s="59"/>
      <c r="L12" s="59"/>
      <c r="M12" s="59"/>
      <c r="N12" s="58"/>
    </row>
    <row r="13" s="2" customFormat="1" ht="15" customHeight="1" spans="1:14">
      <c r="A13" s="1825" t="s">
        <v>2257</v>
      </c>
      <c r="B13" s="15" t="s">
        <v>2258</v>
      </c>
      <c r="C13" s="104"/>
      <c r="D13" s="104"/>
      <c r="E13" s="104"/>
      <c r="F13" s="105"/>
      <c r="G13" s="105"/>
      <c r="H13" s="106" t="e">
        <f>H14+H18+H19+H26+H33+H36+H37</f>
        <v>#REF!</v>
      </c>
      <c r="I13" s="106" t="e">
        <f>IF(H13=0,"",IF(#REF!=0,"",H13*10000/#REF!))</f>
        <v>#REF!</v>
      </c>
      <c r="J13" s="130"/>
      <c r="K13" s="130"/>
      <c r="L13" s="130"/>
      <c r="M13" s="130"/>
      <c r="N13" s="132"/>
    </row>
    <row r="14" s="2" customFormat="1" ht="15" customHeight="1" spans="1:14">
      <c r="A14" s="26" t="s">
        <v>622</v>
      </c>
      <c r="B14" s="1826" t="s">
        <v>2259</v>
      </c>
      <c r="C14" s="22" t="s">
        <v>505</v>
      </c>
      <c r="D14" s="22"/>
      <c r="E14" s="22"/>
      <c r="F14" s="23"/>
      <c r="G14" s="23"/>
      <c r="H14" s="28" t="e">
        <f>SUM(H15:H17)</f>
        <v>#REF!</v>
      </c>
      <c r="I14" s="28" t="e">
        <f>IF(H14=0,"",IF(#REF!=0,"",H14*10000/#REF!))</f>
        <v>#REF!</v>
      </c>
      <c r="J14" s="43"/>
      <c r="K14" s="43"/>
      <c r="L14" s="43"/>
      <c r="M14" s="43"/>
      <c r="N14" s="58"/>
    </row>
    <row r="15" s="2" customFormat="1" ht="15" customHeight="1" spans="1:14">
      <c r="A15" s="26"/>
      <c r="B15" s="1827" t="s">
        <v>1536</v>
      </c>
      <c r="C15" s="22" t="s">
        <v>505</v>
      </c>
      <c r="D15" s="22">
        <v>0.7</v>
      </c>
      <c r="E15" s="22"/>
      <c r="F15" s="23" t="e">
        <f>#REF!</f>
        <v>#REF!</v>
      </c>
      <c r="G15" s="109">
        <v>460</v>
      </c>
      <c r="H15" s="28" t="e">
        <f t="shared" ref="H15:H18" si="2">D15*F15*G15/10000</f>
        <v>#REF!</v>
      </c>
      <c r="I15" s="28"/>
      <c r="J15" s="43"/>
      <c r="K15" s="43"/>
      <c r="L15" s="43"/>
      <c r="M15" s="43"/>
      <c r="N15" s="58"/>
    </row>
    <row r="16" s="2" customFormat="1" ht="15" customHeight="1" spans="1:14">
      <c r="A16" s="26"/>
      <c r="B16" s="1827" t="s">
        <v>1543</v>
      </c>
      <c r="C16" s="22" t="s">
        <v>505</v>
      </c>
      <c r="D16" s="22">
        <v>120</v>
      </c>
      <c r="E16" s="22"/>
      <c r="F16" s="23" t="e">
        <f>#REF!</f>
        <v>#REF!</v>
      </c>
      <c r="G16" s="110" t="e">
        <f>#REF!</f>
        <v>#REF!</v>
      </c>
      <c r="H16" s="28" t="e">
        <f t="shared" si="2"/>
        <v>#REF!</v>
      </c>
      <c r="I16" s="28"/>
      <c r="J16" s="43"/>
      <c r="K16" s="43"/>
      <c r="L16" s="43"/>
      <c r="M16" s="43"/>
      <c r="N16" s="58"/>
    </row>
    <row r="17" s="2" customFormat="1" ht="15" customHeight="1" spans="1:14">
      <c r="A17" s="26"/>
      <c r="B17" s="1827" t="s">
        <v>1550</v>
      </c>
      <c r="C17" s="22" t="s">
        <v>505</v>
      </c>
      <c r="D17" s="22">
        <v>4</v>
      </c>
      <c r="E17" s="22"/>
      <c r="F17" s="23" t="e">
        <f>#REF!</f>
        <v>#REF!</v>
      </c>
      <c r="G17" s="109">
        <v>55</v>
      </c>
      <c r="H17" s="28" t="e">
        <f t="shared" si="2"/>
        <v>#REF!</v>
      </c>
      <c r="I17" s="28"/>
      <c r="J17" s="43"/>
      <c r="K17" s="43"/>
      <c r="L17" s="43"/>
      <c r="M17" s="43"/>
      <c r="N17" s="58"/>
    </row>
    <row r="18" s="2" customFormat="1" ht="15" customHeight="1" spans="1:14">
      <c r="A18" s="26" t="s">
        <v>622</v>
      </c>
      <c r="B18" s="1828" t="s">
        <v>1552</v>
      </c>
      <c r="C18" s="22" t="s">
        <v>505</v>
      </c>
      <c r="D18" s="22">
        <v>0.16</v>
      </c>
      <c r="E18" s="22"/>
      <c r="F18" s="23" t="e">
        <f>#REF!</f>
        <v>#REF!</v>
      </c>
      <c r="G18" s="109" t="e">
        <f>#REF!</f>
        <v>#REF!</v>
      </c>
      <c r="H18" s="28" t="e">
        <f t="shared" si="2"/>
        <v>#REF!</v>
      </c>
      <c r="I18" s="28" t="e">
        <f>IF(H18=0,"",IF(#REF!=0,"",H18*10000/#REF!))</f>
        <v>#REF!</v>
      </c>
      <c r="J18" s="43"/>
      <c r="K18" s="43"/>
      <c r="L18" s="43"/>
      <c r="M18" s="43"/>
      <c r="N18" s="58"/>
    </row>
    <row r="19" s="2" customFormat="1" ht="15" customHeight="1" spans="1:14">
      <c r="A19" s="26" t="s">
        <v>622</v>
      </c>
      <c r="B19" s="1828" t="s">
        <v>1564</v>
      </c>
      <c r="C19" s="22" t="s">
        <v>505</v>
      </c>
      <c r="D19" s="22"/>
      <c r="E19" s="22"/>
      <c r="F19" s="23"/>
      <c r="G19" s="111"/>
      <c r="H19" s="28" t="e">
        <f>SUM(H20:H25)</f>
        <v>#REF!</v>
      </c>
      <c r="I19" s="28" t="e">
        <f>IF(H19=0,"",IF(#REF!=0,"",H19*10000/#REF!))</f>
        <v>#REF!</v>
      </c>
      <c r="J19" s="43"/>
      <c r="K19" s="43"/>
      <c r="L19" s="43"/>
      <c r="M19" s="43"/>
      <c r="N19" s="58"/>
    </row>
    <row r="20" s="2" customFormat="1" ht="15" customHeight="1" spans="1:14">
      <c r="A20" s="26"/>
      <c r="B20" s="34" t="s">
        <v>2260</v>
      </c>
      <c r="C20" s="22" t="s">
        <v>505</v>
      </c>
      <c r="D20" s="40">
        <f>高层18!D16</f>
        <v>0.9</v>
      </c>
      <c r="E20" s="40"/>
      <c r="F20" s="23" t="e">
        <f>#REF!</f>
        <v>#REF!</v>
      </c>
      <c r="G20" s="109" t="e">
        <f>#REF!</f>
        <v>#REF!</v>
      </c>
      <c r="H20" s="28" t="e">
        <f t="shared" ref="H20:H25" si="3">F20*G20*D20/10000</f>
        <v>#REF!</v>
      </c>
      <c r="I20" s="28"/>
      <c r="J20" s="43"/>
      <c r="K20" s="43"/>
      <c r="L20" s="43"/>
      <c r="M20" s="43"/>
      <c r="N20" s="58"/>
    </row>
    <row r="21" s="2" customFormat="1" ht="15" customHeight="1" spans="1:14">
      <c r="A21" s="26"/>
      <c r="B21" s="34" t="s">
        <v>2261</v>
      </c>
      <c r="C21" s="22" t="s">
        <v>505</v>
      </c>
      <c r="D21" s="40">
        <v>1.8</v>
      </c>
      <c r="E21" s="40"/>
      <c r="F21" s="23" t="e">
        <f>#REF!</f>
        <v>#REF!</v>
      </c>
      <c r="G21" s="109" t="e">
        <f>#REF!</f>
        <v>#REF!</v>
      </c>
      <c r="H21" s="28" t="e">
        <f t="shared" si="3"/>
        <v>#REF!</v>
      </c>
      <c r="I21" s="28"/>
      <c r="J21" s="43"/>
      <c r="K21" s="43"/>
      <c r="L21" s="43"/>
      <c r="M21" s="43"/>
      <c r="N21" s="58"/>
    </row>
    <row r="22" s="2" customFormat="1" ht="15" customHeight="1" spans="1:14">
      <c r="A22" s="26"/>
      <c r="B22" s="34" t="s">
        <v>2262</v>
      </c>
      <c r="C22" s="22" t="s">
        <v>505</v>
      </c>
      <c r="D22" s="40">
        <v>1.2</v>
      </c>
      <c r="E22" s="40"/>
      <c r="F22" s="23" t="e">
        <f>#REF!</f>
        <v>#REF!</v>
      </c>
      <c r="G22" s="109" t="e">
        <f>#REF!</f>
        <v>#REF!</v>
      </c>
      <c r="H22" s="28" t="e">
        <f t="shared" si="3"/>
        <v>#REF!</v>
      </c>
      <c r="I22" s="28"/>
      <c r="J22" s="43"/>
      <c r="K22" s="43"/>
      <c r="L22" s="43"/>
      <c r="M22" s="43"/>
      <c r="N22" s="58"/>
    </row>
    <row r="23" s="2" customFormat="1" ht="15" customHeight="1" spans="1:14">
      <c r="A23" s="26"/>
      <c r="B23" s="34" t="s">
        <v>2263</v>
      </c>
      <c r="C23" s="22" t="s">
        <v>505</v>
      </c>
      <c r="D23" s="40">
        <f>高层18!D18</f>
        <v>1.9</v>
      </c>
      <c r="E23" s="40"/>
      <c r="F23" s="23" t="e">
        <f>#REF!</f>
        <v>#REF!</v>
      </c>
      <c r="G23" s="109" t="e">
        <f>#REF!</f>
        <v>#REF!</v>
      </c>
      <c r="H23" s="28" t="e">
        <f t="shared" si="3"/>
        <v>#REF!</v>
      </c>
      <c r="I23" s="28"/>
      <c r="J23" s="43"/>
      <c r="K23" s="43"/>
      <c r="L23" s="43"/>
      <c r="M23" s="43"/>
      <c r="N23" s="58"/>
    </row>
    <row r="24" s="2" customFormat="1" ht="15" customHeight="1" spans="1:14">
      <c r="A24" s="26"/>
      <c r="B24" s="34" t="s">
        <v>2264</v>
      </c>
      <c r="C24" s="22" t="s">
        <v>505</v>
      </c>
      <c r="D24" s="40">
        <v>0.5</v>
      </c>
      <c r="E24" s="40"/>
      <c r="F24" s="23" t="e">
        <f>#REF!</f>
        <v>#REF!</v>
      </c>
      <c r="G24" s="109" t="e">
        <f>#REF!</f>
        <v>#REF!</v>
      </c>
      <c r="H24" s="28" t="e">
        <f t="shared" si="3"/>
        <v>#REF!</v>
      </c>
      <c r="I24" s="28"/>
      <c r="J24" s="43"/>
      <c r="K24" s="43"/>
      <c r="L24" s="43"/>
      <c r="M24" s="43"/>
      <c r="N24" s="58"/>
    </row>
    <row r="25" s="2" customFormat="1" ht="15" customHeight="1" spans="1:14">
      <c r="A25" s="26"/>
      <c r="B25" s="34" t="s">
        <v>2265</v>
      </c>
      <c r="C25" s="22" t="s">
        <v>505</v>
      </c>
      <c r="D25" s="40">
        <v>0.3</v>
      </c>
      <c r="E25" s="40"/>
      <c r="F25" s="23" t="e">
        <f>#REF!</f>
        <v>#REF!</v>
      </c>
      <c r="G25" s="109" t="e">
        <f>#REF!</f>
        <v>#REF!</v>
      </c>
      <c r="H25" s="28" t="e">
        <f t="shared" si="3"/>
        <v>#REF!</v>
      </c>
      <c r="I25" s="28"/>
      <c r="J25" s="43"/>
      <c r="K25" s="43"/>
      <c r="L25" s="43"/>
      <c r="M25" s="43"/>
      <c r="N25" s="58"/>
    </row>
    <row r="26" s="2" customFormat="1" ht="15" customHeight="1" spans="1:14">
      <c r="A26" s="26" t="s">
        <v>622</v>
      </c>
      <c r="B26" s="1828" t="s">
        <v>2266</v>
      </c>
      <c r="C26" s="22"/>
      <c r="D26" s="79"/>
      <c r="E26" s="79"/>
      <c r="F26" s="23"/>
      <c r="G26" s="111"/>
      <c r="H26" s="28" t="e">
        <f>SUM(H27:H32)</f>
        <v>#REF!</v>
      </c>
      <c r="I26" s="28" t="e">
        <f>IF(H26=0,"",IF(#REF!=0,"",H26*10000/#REF!))</f>
        <v>#REF!</v>
      </c>
      <c r="J26" s="43"/>
      <c r="K26" s="43"/>
      <c r="L26" s="43"/>
      <c r="M26" s="43"/>
      <c r="N26" s="58"/>
    </row>
    <row r="27" s="2" customFormat="1" ht="15" customHeight="1" spans="1:14">
      <c r="A27" s="26"/>
      <c r="B27" s="34" t="s">
        <v>2267</v>
      </c>
      <c r="C27" s="80" t="s">
        <v>598</v>
      </c>
      <c r="D27" s="40">
        <v>0.02</v>
      </c>
      <c r="E27" s="112"/>
      <c r="F27" s="23" t="e">
        <f>#REF!</f>
        <v>#REF!</v>
      </c>
      <c r="G27" s="109" t="e">
        <f>#REF!</f>
        <v>#REF!</v>
      </c>
      <c r="H27" s="28" t="e">
        <f t="shared" ref="H27:H32" si="4">F27*G27*D27/10000</f>
        <v>#REF!</v>
      </c>
      <c r="I27" s="28"/>
      <c r="J27" s="43"/>
      <c r="K27" s="43"/>
      <c r="L27" s="43"/>
      <c r="M27" s="43"/>
      <c r="N27" s="58"/>
    </row>
    <row r="28" s="2" customFormat="1" ht="15" customHeight="1" spans="1:14">
      <c r="A28" s="26"/>
      <c r="B28" s="34" t="s">
        <v>2268</v>
      </c>
      <c r="C28" s="80" t="s">
        <v>598</v>
      </c>
      <c r="D28" s="40">
        <v>0.05</v>
      </c>
      <c r="E28" s="112"/>
      <c r="F28" s="23" t="e">
        <f>#REF!</f>
        <v>#REF!</v>
      </c>
      <c r="G28" s="109" t="e">
        <f>#REF!</f>
        <v>#REF!</v>
      </c>
      <c r="H28" s="28" t="e">
        <f t="shared" si="4"/>
        <v>#REF!</v>
      </c>
      <c r="I28" s="28"/>
      <c r="J28" s="43"/>
      <c r="K28" s="43"/>
      <c r="L28" s="43"/>
      <c r="M28" s="43"/>
      <c r="N28" s="58"/>
    </row>
    <row r="29" s="2" customFormat="1" ht="15" customHeight="1" spans="1:14">
      <c r="A29" s="26"/>
      <c r="B29" s="34" t="s">
        <v>2269</v>
      </c>
      <c r="C29" s="22" t="s">
        <v>505</v>
      </c>
      <c r="D29" s="40"/>
      <c r="E29" s="112"/>
      <c r="F29" s="23" t="e">
        <f>#REF!</f>
        <v>#REF!</v>
      </c>
      <c r="G29" s="109" t="e">
        <f>#REF!</f>
        <v>#REF!</v>
      </c>
      <c r="H29" s="28" t="e">
        <f t="shared" si="4"/>
        <v>#REF!</v>
      </c>
      <c r="I29" s="28"/>
      <c r="J29" s="43"/>
      <c r="K29" s="43"/>
      <c r="L29" s="43"/>
      <c r="M29" s="43"/>
      <c r="N29" s="58"/>
    </row>
    <row r="30" s="2" customFormat="1" ht="15" customHeight="1" spans="1:14">
      <c r="A30" s="26"/>
      <c r="B30" s="34" t="s">
        <v>2270</v>
      </c>
      <c r="C30" s="22" t="s">
        <v>505</v>
      </c>
      <c r="D30" s="40">
        <v>1</v>
      </c>
      <c r="E30" s="113"/>
      <c r="F30" s="23" t="e">
        <f>#REF!</f>
        <v>#REF!</v>
      </c>
      <c r="G30" s="109" t="e">
        <f>#REF!</f>
        <v>#REF!</v>
      </c>
      <c r="H30" s="28" t="e">
        <f t="shared" si="4"/>
        <v>#REF!</v>
      </c>
      <c r="I30" s="28"/>
      <c r="J30" s="43"/>
      <c r="K30" s="43"/>
      <c r="L30" s="43"/>
      <c r="M30" s="43"/>
      <c r="N30" s="58"/>
    </row>
    <row r="31" s="2" customFormat="1" ht="15" customHeight="1" spans="1:14">
      <c r="A31" s="26"/>
      <c r="B31" s="34" t="s">
        <v>2271</v>
      </c>
      <c r="C31" s="22"/>
      <c r="D31" s="40">
        <v>1.3</v>
      </c>
      <c r="E31" s="113"/>
      <c r="F31" s="23" t="e">
        <f>#REF!</f>
        <v>#REF!</v>
      </c>
      <c r="G31" s="109" t="e">
        <f>#REF!</f>
        <v>#REF!</v>
      </c>
      <c r="H31" s="28" t="e">
        <f t="shared" si="4"/>
        <v>#REF!</v>
      </c>
      <c r="I31" s="28"/>
      <c r="J31" s="43"/>
      <c r="K31" s="43"/>
      <c r="L31" s="43"/>
      <c r="M31" s="43"/>
      <c r="N31" s="58"/>
    </row>
    <row r="32" s="2" customFormat="1" ht="15" customHeight="1" spans="1:14">
      <c r="A32" s="26"/>
      <c r="B32" s="34" t="s">
        <v>2272</v>
      </c>
      <c r="C32" s="22" t="s">
        <v>505</v>
      </c>
      <c r="D32" s="40">
        <v>0.05</v>
      </c>
      <c r="E32" s="113"/>
      <c r="F32" s="23" t="e">
        <f>#REF!</f>
        <v>#REF!</v>
      </c>
      <c r="G32" s="109" t="e">
        <f>#REF!</f>
        <v>#REF!</v>
      </c>
      <c r="H32" s="28" t="e">
        <f t="shared" si="4"/>
        <v>#REF!</v>
      </c>
      <c r="I32" s="28"/>
      <c r="J32" s="43"/>
      <c r="K32" s="43"/>
      <c r="L32" s="43"/>
      <c r="M32" s="43"/>
      <c r="N32" s="58"/>
    </row>
    <row r="33" s="2" customFormat="1" ht="15" customHeight="1" spans="1:14">
      <c r="A33" s="26" t="s">
        <v>622</v>
      </c>
      <c r="B33" s="39" t="s">
        <v>2273</v>
      </c>
      <c r="C33" s="22"/>
      <c r="D33" s="22"/>
      <c r="E33" s="22"/>
      <c r="F33" s="23"/>
      <c r="G33" s="111"/>
      <c r="H33" s="28" t="e">
        <f>SUM(H34:H35)</f>
        <v>#REF!</v>
      </c>
      <c r="I33" s="28" t="e">
        <f>IF(H33=0,"",IF(#REF!=0,"",H33*10000/#REF!))</f>
        <v>#REF!</v>
      </c>
      <c r="J33" s="43"/>
      <c r="K33" s="43"/>
      <c r="L33" s="43"/>
      <c r="M33" s="43"/>
      <c r="N33" s="58"/>
    </row>
    <row r="34" s="2" customFormat="1" ht="15" customHeight="1" spans="1:14">
      <c r="A34" s="26"/>
      <c r="B34" s="1829" t="s">
        <v>2274</v>
      </c>
      <c r="C34" s="22" t="s">
        <v>505</v>
      </c>
      <c r="D34" s="22">
        <v>1</v>
      </c>
      <c r="E34" s="22"/>
      <c r="F34" s="23" t="e">
        <f>#REF!</f>
        <v>#REF!</v>
      </c>
      <c r="G34" s="109">
        <v>200</v>
      </c>
      <c r="H34" s="28" t="e">
        <f t="shared" ref="H34:H38" si="5">D34*F34*G34/10000</f>
        <v>#REF!</v>
      </c>
      <c r="I34" s="28" t="e">
        <f>IF(H34=0,"",IF(#REF!=0,"",H34*10000/#REF!))</f>
        <v>#REF!</v>
      </c>
      <c r="J34" s="43"/>
      <c r="K34" s="43"/>
      <c r="L34" s="43"/>
      <c r="M34" s="43"/>
      <c r="N34" s="58"/>
    </row>
    <row r="35" s="2" customFormat="1" ht="15" customHeight="1" spans="1:14">
      <c r="A35" s="26"/>
      <c r="B35" s="1829" t="s">
        <v>2275</v>
      </c>
      <c r="C35" s="22" t="s">
        <v>505</v>
      </c>
      <c r="D35" s="41">
        <v>0.03</v>
      </c>
      <c r="E35" s="41"/>
      <c r="F35" s="23" t="e">
        <f>#REF!</f>
        <v>#REF!</v>
      </c>
      <c r="G35" s="42" t="e">
        <f>SUM(I14,I18,I19,I34,I26)</f>
        <v>#REF!</v>
      </c>
      <c r="H35" s="28" t="e">
        <f t="shared" si="5"/>
        <v>#REF!</v>
      </c>
      <c r="I35" s="28"/>
      <c r="J35" s="43"/>
      <c r="K35" s="43"/>
      <c r="L35" s="43"/>
      <c r="M35" s="43"/>
      <c r="N35" s="61"/>
    </row>
    <row r="36" s="2" customFormat="1" ht="15" customHeight="1" spans="1:14">
      <c r="A36" s="19" t="s">
        <v>622</v>
      </c>
      <c r="B36" s="64" t="s">
        <v>2276</v>
      </c>
      <c r="C36" s="21" t="s">
        <v>505</v>
      </c>
      <c r="D36" s="47">
        <v>0.8</v>
      </c>
      <c r="E36" s="47"/>
      <c r="F36" s="23" t="e">
        <f>#REF!</f>
        <v>#REF!</v>
      </c>
      <c r="G36" s="115">
        <v>100</v>
      </c>
      <c r="H36" s="28" t="e">
        <f>F36*G36*D36/10000</f>
        <v>#REF!</v>
      </c>
      <c r="I36" s="28" t="e">
        <f>IF(H36=0,"",IF(#REF!=0,"",H36*10000/#REF!))</f>
        <v>#REF!</v>
      </c>
      <c r="J36" s="43"/>
      <c r="K36" s="43"/>
      <c r="L36" s="43"/>
      <c r="M36" s="43"/>
      <c r="N36" s="58"/>
    </row>
    <row r="37" s="2" customFormat="1" ht="15" customHeight="1" spans="1:14">
      <c r="A37" s="26" t="s">
        <v>622</v>
      </c>
      <c r="B37" s="27" t="s">
        <v>1275</v>
      </c>
      <c r="C37" s="22"/>
      <c r="D37" s="22"/>
      <c r="E37" s="22"/>
      <c r="F37" s="23"/>
      <c r="G37" s="111"/>
      <c r="H37" s="28" t="e">
        <f>SUM(H38)</f>
        <v>#REF!</v>
      </c>
      <c r="I37" s="28" t="e">
        <f>IF(H37=0,"",IF(#REF!=0,"",H37*10000/#REF!))</f>
        <v>#REF!</v>
      </c>
      <c r="J37" s="43"/>
      <c r="K37" s="43"/>
      <c r="L37" s="43"/>
      <c r="M37" s="43"/>
      <c r="N37" s="58"/>
    </row>
    <row r="38" s="2" customFormat="1" ht="15" customHeight="1" spans="1:14">
      <c r="A38" s="26"/>
      <c r="B38" s="43" t="s">
        <v>2277</v>
      </c>
      <c r="C38" s="22"/>
      <c r="D38" s="22">
        <v>1</v>
      </c>
      <c r="E38" s="22"/>
      <c r="F38" s="23" t="e">
        <f>#REF!</f>
        <v>#REF!</v>
      </c>
      <c r="G38" s="111">
        <v>200</v>
      </c>
      <c r="H38" s="28" t="e">
        <f t="shared" si="5"/>
        <v>#REF!</v>
      </c>
      <c r="I38" s="28"/>
      <c r="J38" s="43"/>
      <c r="K38" s="43"/>
      <c r="L38" s="43"/>
      <c r="M38" s="43"/>
      <c r="N38" s="58"/>
    </row>
    <row r="39" s="2" customFormat="1" ht="15" customHeight="1" spans="1:14">
      <c r="A39" s="102" t="s">
        <v>533</v>
      </c>
      <c r="B39" s="103" t="s">
        <v>2278</v>
      </c>
      <c r="C39" s="12"/>
      <c r="D39" s="12"/>
      <c r="E39" s="12"/>
      <c r="F39" s="48"/>
      <c r="G39" s="12"/>
      <c r="H39" s="13" t="e">
        <f>H40+H51+H95</f>
        <v>#REF!</v>
      </c>
      <c r="I39" s="13" t="e">
        <f>IF(H39=0,"",IF(#REF!=0,"",H39*10000/#REF!))</f>
        <v>#REF!</v>
      </c>
      <c r="J39" s="55"/>
      <c r="K39" s="55"/>
      <c r="L39" s="55"/>
      <c r="M39" s="55"/>
      <c r="N39" s="63"/>
    </row>
    <row r="40" s="2" customFormat="1" ht="15" customHeight="1" spans="1:14">
      <c r="A40" s="1825" t="s">
        <v>2247</v>
      </c>
      <c r="B40" s="15" t="s">
        <v>2279</v>
      </c>
      <c r="C40" s="104"/>
      <c r="D40" s="104"/>
      <c r="E40" s="104"/>
      <c r="F40" s="105"/>
      <c r="G40" s="104"/>
      <c r="H40" s="106" t="e">
        <f>H41+H46+H45</f>
        <v>#REF!</v>
      </c>
      <c r="I40" s="106" t="e">
        <f>IF(H40=0,"",IF(#REF!=0,"",H40*10000/#REF!))</f>
        <v>#REF!</v>
      </c>
      <c r="J40" s="130"/>
      <c r="K40" s="130"/>
      <c r="L40" s="130"/>
      <c r="M40" s="130"/>
      <c r="N40" s="131"/>
    </row>
    <row r="41" s="2" customFormat="1" ht="15" customHeight="1" spans="1:14">
      <c r="A41" s="19" t="s">
        <v>622</v>
      </c>
      <c r="B41" s="20" t="s">
        <v>2280</v>
      </c>
      <c r="C41" s="22" t="s">
        <v>505</v>
      </c>
      <c r="D41" s="49"/>
      <c r="E41" s="49"/>
      <c r="F41" s="23"/>
      <c r="G41" s="22"/>
      <c r="H41" s="28" t="e">
        <f>SUM(H42:H44)</f>
        <v>#REF!</v>
      </c>
      <c r="I41" s="28" t="e">
        <f>IF(H41=0,"",IF(#REF!=0,"",H41*10000/#REF!))</f>
        <v>#REF!</v>
      </c>
      <c r="J41" s="43"/>
      <c r="K41" s="43"/>
      <c r="L41" s="43"/>
      <c r="M41" s="43"/>
      <c r="N41" s="58"/>
    </row>
    <row r="42" s="2" customFormat="1" ht="15" customHeight="1" spans="1:14">
      <c r="A42" s="19"/>
      <c r="B42" s="117" t="s">
        <v>2281</v>
      </c>
      <c r="C42" s="21" t="s">
        <v>505</v>
      </c>
      <c r="D42" s="21">
        <v>1</v>
      </c>
      <c r="E42" s="21"/>
      <c r="F42" s="23" t="e">
        <f>#REF!</f>
        <v>#REF!</v>
      </c>
      <c r="G42" s="23">
        <v>50</v>
      </c>
      <c r="H42" s="28" t="e">
        <f t="shared" ref="H42:H45" si="6">D42*F42*G42/10000</f>
        <v>#REF!</v>
      </c>
      <c r="I42" s="28"/>
      <c r="J42" s="43"/>
      <c r="K42" s="43"/>
      <c r="L42" s="43"/>
      <c r="M42" s="43"/>
      <c r="N42" s="58"/>
    </row>
    <row r="43" s="2" customFormat="1" ht="15" customHeight="1" spans="1:14">
      <c r="A43" s="19"/>
      <c r="B43" s="117" t="s">
        <v>2282</v>
      </c>
      <c r="C43" s="21" t="s">
        <v>505</v>
      </c>
      <c r="D43" s="21">
        <v>1</v>
      </c>
      <c r="E43" s="21"/>
      <c r="F43" s="23" t="e">
        <f>#REF!</f>
        <v>#REF!</v>
      </c>
      <c r="G43" s="23">
        <v>10</v>
      </c>
      <c r="H43" s="28" t="e">
        <f t="shared" si="6"/>
        <v>#REF!</v>
      </c>
      <c r="I43" s="28"/>
      <c r="J43" s="43"/>
      <c r="K43" s="43"/>
      <c r="L43" s="43"/>
      <c r="M43" s="43"/>
      <c r="N43" s="58"/>
    </row>
    <row r="44" s="2" customFormat="1" ht="15" customHeight="1" spans="1:14">
      <c r="A44" s="19"/>
      <c r="B44" s="117" t="s">
        <v>2283</v>
      </c>
      <c r="C44" s="21" t="s">
        <v>505</v>
      </c>
      <c r="D44" s="21">
        <v>1</v>
      </c>
      <c r="E44" s="21"/>
      <c r="F44" s="23" t="e">
        <f>#REF!</f>
        <v>#REF!</v>
      </c>
      <c r="G44" s="23">
        <v>10</v>
      </c>
      <c r="H44" s="28" t="e">
        <f t="shared" si="6"/>
        <v>#REF!</v>
      </c>
      <c r="I44" s="28"/>
      <c r="J44" s="43"/>
      <c r="K44" s="43"/>
      <c r="L44" s="43"/>
      <c r="M44" s="43"/>
      <c r="N44" s="58"/>
    </row>
    <row r="45" s="2" customFormat="1" ht="15" customHeight="1" spans="1:14">
      <c r="A45" s="19" t="s">
        <v>622</v>
      </c>
      <c r="B45" s="20" t="s">
        <v>2284</v>
      </c>
      <c r="C45" s="21" t="s">
        <v>505</v>
      </c>
      <c r="D45" s="21">
        <v>1</v>
      </c>
      <c r="E45" s="21"/>
      <c r="F45" s="23" t="e">
        <f>#REF!</f>
        <v>#REF!</v>
      </c>
      <c r="G45" s="23"/>
      <c r="H45" s="28" t="e">
        <f t="shared" si="6"/>
        <v>#REF!</v>
      </c>
      <c r="I45" s="28" t="e">
        <f>IF(H45=0,"",IF(#REF!=0,"",H45*10000/#REF!))</f>
        <v>#REF!</v>
      </c>
      <c r="J45" s="43"/>
      <c r="K45" s="43"/>
      <c r="L45" s="43"/>
      <c r="M45" s="43"/>
      <c r="N45" s="58"/>
    </row>
    <row r="46" s="2" customFormat="1" ht="15" customHeight="1" spans="1:14">
      <c r="A46" s="19" t="s">
        <v>622</v>
      </c>
      <c r="B46" s="20" t="s">
        <v>2285</v>
      </c>
      <c r="C46" s="22" t="s">
        <v>505</v>
      </c>
      <c r="D46" s="49"/>
      <c r="E46" s="49"/>
      <c r="F46" s="23"/>
      <c r="G46" s="23"/>
      <c r="H46" s="28" t="e">
        <f>SUM(H47:H50)</f>
        <v>#REF!</v>
      </c>
      <c r="I46" s="28" t="e">
        <f>IF(H46=0,"",IF(#REF!=0,"",H46*10000/#REF!))</f>
        <v>#REF!</v>
      </c>
      <c r="J46" s="43"/>
      <c r="K46" s="43"/>
      <c r="L46" s="43"/>
      <c r="M46" s="43"/>
      <c r="N46" s="58"/>
    </row>
    <row r="47" s="2" customFormat="1" ht="16.5" customHeight="1" spans="1:14">
      <c r="A47" s="19"/>
      <c r="B47" s="117" t="s">
        <v>2286</v>
      </c>
      <c r="C47" s="21" t="s">
        <v>505</v>
      </c>
      <c r="D47" s="21">
        <v>1</v>
      </c>
      <c r="E47" s="21"/>
      <c r="F47" s="23" t="e">
        <f>#REF!</f>
        <v>#REF!</v>
      </c>
      <c r="G47" s="23">
        <v>80</v>
      </c>
      <c r="H47" s="28" t="e">
        <f t="shared" ref="H47:H50" si="7">D47*F47*G47/10000</f>
        <v>#REF!</v>
      </c>
      <c r="I47" s="28"/>
      <c r="J47" s="43"/>
      <c r="K47" s="43"/>
      <c r="L47" s="43"/>
      <c r="M47" s="43"/>
      <c r="N47" s="58"/>
    </row>
    <row r="48" s="2" customFormat="1" ht="15" customHeight="1" spans="1:14">
      <c r="A48" s="19"/>
      <c r="B48" s="117" t="s">
        <v>2502</v>
      </c>
      <c r="C48" s="21" t="s">
        <v>505</v>
      </c>
      <c r="D48" s="21">
        <v>1</v>
      </c>
      <c r="E48" s="21"/>
      <c r="F48" s="23" t="e">
        <f>#REF!</f>
        <v>#REF!</v>
      </c>
      <c r="G48" s="23">
        <v>10</v>
      </c>
      <c r="H48" s="28" t="e">
        <f t="shared" si="7"/>
        <v>#REF!</v>
      </c>
      <c r="I48" s="28"/>
      <c r="J48" s="43"/>
      <c r="K48" s="43"/>
      <c r="L48" s="43"/>
      <c r="M48" s="43"/>
      <c r="N48" s="58"/>
    </row>
    <row r="49" s="2" customFormat="1" ht="15" customHeight="1" spans="1:14">
      <c r="A49" s="19"/>
      <c r="B49" s="117" t="s">
        <v>2481</v>
      </c>
      <c r="C49" s="21" t="s">
        <v>505</v>
      </c>
      <c r="D49" s="21">
        <v>1</v>
      </c>
      <c r="E49" s="21"/>
      <c r="F49" s="23" t="e">
        <f>#REF!</f>
        <v>#REF!</v>
      </c>
      <c r="G49" s="23">
        <v>80</v>
      </c>
      <c r="H49" s="28" t="e">
        <f t="shared" si="7"/>
        <v>#REF!</v>
      </c>
      <c r="I49" s="28"/>
      <c r="J49" s="43"/>
      <c r="K49" s="43"/>
      <c r="L49" s="43"/>
      <c r="M49" s="43"/>
      <c r="N49" s="74"/>
    </row>
    <row r="50" s="2" customFormat="1" ht="15" customHeight="1" spans="1:14">
      <c r="A50" s="19"/>
      <c r="B50" s="117" t="s">
        <v>2358</v>
      </c>
      <c r="C50" s="21" t="s">
        <v>505</v>
      </c>
      <c r="D50" s="21">
        <v>1</v>
      </c>
      <c r="E50" s="21"/>
      <c r="F50" s="23" t="e">
        <f>#REF!</f>
        <v>#REF!</v>
      </c>
      <c r="G50" s="118">
        <v>10</v>
      </c>
      <c r="H50" s="28" t="e">
        <f t="shared" si="7"/>
        <v>#REF!</v>
      </c>
      <c r="I50" s="28"/>
      <c r="J50" s="43"/>
      <c r="K50" s="43"/>
      <c r="L50" s="43"/>
      <c r="M50" s="43"/>
      <c r="N50" s="58"/>
    </row>
    <row r="51" s="2" customFormat="1" ht="15" customHeight="1" spans="1:14">
      <c r="A51" s="1825" t="s">
        <v>2257</v>
      </c>
      <c r="B51" s="15" t="s">
        <v>2291</v>
      </c>
      <c r="C51" s="104"/>
      <c r="D51" s="104"/>
      <c r="E51" s="104"/>
      <c r="F51" s="105"/>
      <c r="G51" s="119"/>
      <c r="H51" s="106" t="e">
        <f>SUM(H52:H56)</f>
        <v>#REF!</v>
      </c>
      <c r="I51" s="106" t="e">
        <f>IF(H51=0,"",IF(#REF!=0,"",H51*10000/#REF!))</f>
        <v>#REF!</v>
      </c>
      <c r="J51" s="130"/>
      <c r="K51" s="130"/>
      <c r="L51" s="130"/>
      <c r="M51" s="130"/>
      <c r="N51" s="131"/>
    </row>
    <row r="52" s="2" customFormat="1" ht="15" customHeight="1" spans="1:14">
      <c r="A52" s="19" t="s">
        <v>622</v>
      </c>
      <c r="B52" s="20" t="s">
        <v>2292</v>
      </c>
      <c r="C52" s="66"/>
      <c r="D52" s="21">
        <v>1</v>
      </c>
      <c r="E52" s="21"/>
      <c r="F52" s="23" t="e">
        <f>#REF!</f>
        <v>#REF!</v>
      </c>
      <c r="G52" s="111"/>
      <c r="H52" s="28" t="e">
        <f t="shared" ref="H52:H56" si="8">F52*G52/10000</f>
        <v>#REF!</v>
      </c>
      <c r="I52" s="28"/>
      <c r="J52" s="43"/>
      <c r="K52" s="43"/>
      <c r="L52" s="43"/>
      <c r="M52" s="43"/>
      <c r="N52" s="58"/>
    </row>
    <row r="53" s="2" customFormat="1" ht="15" customHeight="1" spans="1:14">
      <c r="A53" s="19" t="s">
        <v>622</v>
      </c>
      <c r="B53" s="64" t="s">
        <v>2293</v>
      </c>
      <c r="C53" s="66" t="s">
        <v>602</v>
      </c>
      <c r="D53" s="21">
        <v>1</v>
      </c>
      <c r="E53" s="21"/>
      <c r="F53" s="23" t="e">
        <f>#REF!</f>
        <v>#REF!</v>
      </c>
      <c r="G53" s="111">
        <v>50</v>
      </c>
      <c r="H53" s="28" t="e">
        <f t="shared" si="8"/>
        <v>#REF!</v>
      </c>
      <c r="I53" s="28" t="e">
        <f>IF(H53=0,"",IF(#REF!=0,"",H53*10000/#REF!))</f>
        <v>#REF!</v>
      </c>
      <c r="J53" s="43"/>
      <c r="K53" s="43"/>
      <c r="L53" s="43"/>
      <c r="M53" s="43"/>
      <c r="N53" s="58"/>
    </row>
    <row r="54" s="2" customFormat="1" ht="15" customHeight="1" spans="1:14">
      <c r="A54" s="19" t="s">
        <v>622</v>
      </c>
      <c r="B54" s="64" t="s">
        <v>2294</v>
      </c>
      <c r="C54" s="22" t="s">
        <v>505</v>
      </c>
      <c r="D54" s="21">
        <v>1</v>
      </c>
      <c r="E54" s="21"/>
      <c r="F54" s="23" t="e">
        <f>#REF!</f>
        <v>#REF!</v>
      </c>
      <c r="G54" s="84"/>
      <c r="H54" s="28" t="e">
        <f>D54*F54*G54/10000</f>
        <v>#REF!</v>
      </c>
      <c r="I54" s="28" t="e">
        <f>IF(H54=0,"",IF(#REF!=0,"",H54*10000/#REF!))</f>
        <v>#REF!</v>
      </c>
      <c r="J54" s="43"/>
      <c r="K54" s="43"/>
      <c r="L54" s="43"/>
      <c r="M54" s="43"/>
      <c r="N54" s="58"/>
    </row>
    <row r="55" s="2" customFormat="1" ht="15" customHeight="1" spans="1:14">
      <c r="A55" s="19" t="s">
        <v>622</v>
      </c>
      <c r="B55" s="20" t="s">
        <v>2295</v>
      </c>
      <c r="C55" s="22" t="s">
        <v>505</v>
      </c>
      <c r="D55" s="21">
        <v>1</v>
      </c>
      <c r="E55" s="21"/>
      <c r="F55" s="23" t="e">
        <f>#REF!</f>
        <v>#REF!</v>
      </c>
      <c r="G55" s="118">
        <v>200</v>
      </c>
      <c r="H55" s="28" t="e">
        <f>D55*F55*G55/10000</f>
        <v>#REF!</v>
      </c>
      <c r="I55" s="28" t="e">
        <f>IF(H55=0,"",IF(#REF!=0,"",H55*10000/#REF!))</f>
        <v>#REF!</v>
      </c>
      <c r="J55" s="43"/>
      <c r="K55" s="43"/>
      <c r="L55" s="43"/>
      <c r="M55" s="43"/>
      <c r="N55" s="58"/>
    </row>
    <row r="56" s="2" customFormat="1" ht="15" customHeight="1" spans="1:14">
      <c r="A56" s="19" t="s">
        <v>622</v>
      </c>
      <c r="B56" s="64" t="s">
        <v>933</v>
      </c>
      <c r="C56" s="66"/>
      <c r="D56" s="21">
        <v>1</v>
      </c>
      <c r="E56" s="21"/>
      <c r="F56" s="23" t="e">
        <f>#REF!</f>
        <v>#REF!</v>
      </c>
      <c r="G56" s="111">
        <v>50</v>
      </c>
      <c r="H56" s="28" t="e">
        <f t="shared" si="8"/>
        <v>#REF!</v>
      </c>
      <c r="I56" s="28" t="e">
        <f>IF(H56=0,"",IF(#REF!=0,"",H56*10000/#REF!))</f>
        <v>#REF!</v>
      </c>
      <c r="J56" s="43"/>
      <c r="K56" s="43"/>
      <c r="L56" s="43"/>
      <c r="M56" s="43"/>
      <c r="N56" s="58"/>
    </row>
    <row r="57" s="2" customFormat="1" ht="15" customHeight="1" spans="1:14">
      <c r="A57" s="102" t="s">
        <v>547</v>
      </c>
      <c r="B57" s="103" t="s">
        <v>2296</v>
      </c>
      <c r="C57" s="12"/>
      <c r="D57" s="12"/>
      <c r="E57" s="12"/>
      <c r="F57" s="48"/>
      <c r="G57" s="12"/>
      <c r="H57" s="13" t="e">
        <f>H58+H73+H84+H88+H92</f>
        <v>#REF!</v>
      </c>
      <c r="I57" s="13" t="e">
        <f>IF(H57=0,"",IF(#REF!=0,"",H57*10000/#REF!))</f>
        <v>#REF!</v>
      </c>
      <c r="J57" s="55"/>
      <c r="K57" s="55"/>
      <c r="L57" s="55"/>
      <c r="M57" s="55"/>
      <c r="N57" s="63"/>
    </row>
    <row r="58" s="2" customFormat="1" ht="15" customHeight="1" spans="1:14">
      <c r="A58" s="120">
        <v>1</v>
      </c>
      <c r="B58" s="121" t="s">
        <v>550</v>
      </c>
      <c r="C58" s="122"/>
      <c r="D58" s="122"/>
      <c r="E58" s="122"/>
      <c r="F58" s="123"/>
      <c r="G58" s="122"/>
      <c r="H58" s="124" t="e">
        <f>H59+H68+H69+H72</f>
        <v>#REF!</v>
      </c>
      <c r="I58" s="124" t="e">
        <f>IF(H58=0,"",IF(#REF!=0,"",H58*10000/#REF!))</f>
        <v>#REF!</v>
      </c>
      <c r="J58" s="133"/>
      <c r="K58" s="133"/>
      <c r="L58" s="133"/>
      <c r="M58" s="133"/>
      <c r="N58" s="134"/>
    </row>
    <row r="59" s="2" customFormat="1" ht="15" customHeight="1" spans="1:14">
      <c r="A59" s="125" t="s">
        <v>619</v>
      </c>
      <c r="B59" s="126" t="s">
        <v>2297</v>
      </c>
      <c r="C59" s="127"/>
      <c r="D59" s="127"/>
      <c r="E59" s="127"/>
      <c r="F59" s="128"/>
      <c r="G59" s="127"/>
      <c r="H59" s="129" t="e">
        <f>SUM(H60:H67)</f>
        <v>#REF!</v>
      </c>
      <c r="I59" s="129" t="e">
        <f>IF(H59=0,"",IF(#REF!=0,"",H59*10000/#REF!))</f>
        <v>#REF!</v>
      </c>
      <c r="J59" s="135"/>
      <c r="K59" s="135"/>
      <c r="L59" s="135"/>
      <c r="M59" s="135"/>
      <c r="N59" s="136"/>
    </row>
    <row r="60" s="2" customFormat="1" ht="15" customHeight="1" spans="1:14">
      <c r="A60" s="19" t="s">
        <v>622</v>
      </c>
      <c r="B60" s="107" t="s">
        <v>2298</v>
      </c>
      <c r="C60" s="21" t="s">
        <v>505</v>
      </c>
      <c r="D60" s="47">
        <f>D25</f>
        <v>0.3</v>
      </c>
      <c r="E60" s="47"/>
      <c r="F60" s="23" t="e">
        <f>#REF!</f>
        <v>#REF!</v>
      </c>
      <c r="G60" s="115">
        <v>80</v>
      </c>
      <c r="H60" s="28" t="e">
        <f t="shared" ref="H60:H63" si="9">F60*G60*D60/10000</f>
        <v>#REF!</v>
      </c>
      <c r="I60" s="28" t="e">
        <f>IF(H60=0,"",IF(#REF!=0,"",H60*10000/#REF!))</f>
        <v>#REF!</v>
      </c>
      <c r="J60" s="43"/>
      <c r="K60" s="43"/>
      <c r="L60" s="43"/>
      <c r="M60" s="43"/>
      <c r="N60" s="58"/>
    </row>
    <row r="61" s="2" customFormat="1" ht="15" customHeight="1" spans="1:14">
      <c r="A61" s="19" t="s">
        <v>622</v>
      </c>
      <c r="B61" s="107" t="s">
        <v>2299</v>
      </c>
      <c r="C61" s="21"/>
      <c r="D61" s="47"/>
      <c r="E61" s="47"/>
      <c r="F61" s="23"/>
      <c r="G61" s="115"/>
      <c r="H61" s="28"/>
      <c r="I61" s="28"/>
      <c r="J61" s="43"/>
      <c r="K61" s="43"/>
      <c r="L61" s="43"/>
      <c r="M61" s="43"/>
      <c r="N61" s="58"/>
    </row>
    <row r="62" s="2" customFormat="1" ht="15" customHeight="1" spans="1:14">
      <c r="A62" s="19" t="s">
        <v>622</v>
      </c>
      <c r="B62" s="107" t="s">
        <v>2300</v>
      </c>
      <c r="C62" s="21"/>
      <c r="D62" s="47">
        <f>D24</f>
        <v>0.5</v>
      </c>
      <c r="E62" s="47"/>
      <c r="F62" s="23" t="e">
        <f>#REF!</f>
        <v>#REF!</v>
      </c>
      <c r="G62" s="115">
        <v>140</v>
      </c>
      <c r="H62" s="28" t="e">
        <f t="shared" si="9"/>
        <v>#REF!</v>
      </c>
      <c r="I62" s="28" t="e">
        <f>IF(H62=0,"",IF(#REF!=0,"",H62*10000/#REF!))</f>
        <v>#REF!</v>
      </c>
      <c r="J62" s="43"/>
      <c r="K62" s="43"/>
      <c r="L62" s="43"/>
      <c r="M62" s="43"/>
      <c r="N62" s="58"/>
    </row>
    <row r="63" s="2" customFormat="1" ht="15" customHeight="1" spans="1:14">
      <c r="A63" s="19" t="s">
        <v>622</v>
      </c>
      <c r="B63" s="107" t="s">
        <v>2301</v>
      </c>
      <c r="C63" s="21"/>
      <c r="D63" s="47">
        <v>0.2</v>
      </c>
      <c r="E63" s="47"/>
      <c r="F63" s="23" t="e">
        <f>#REF!</f>
        <v>#REF!</v>
      </c>
      <c r="G63" s="115">
        <v>1000</v>
      </c>
      <c r="H63" s="28" t="e">
        <f t="shared" si="9"/>
        <v>#REF!</v>
      </c>
      <c r="I63" s="28" t="e">
        <f>IF(H63=0,"",IF(#REF!=0,"",H63*10000/#REF!))</f>
        <v>#REF!</v>
      </c>
      <c r="J63" s="43"/>
      <c r="K63" s="43"/>
      <c r="L63" s="43"/>
      <c r="M63" s="43"/>
      <c r="N63" s="58"/>
    </row>
    <row r="64" s="2" customFormat="1" ht="15" customHeight="1" spans="1:14">
      <c r="A64" s="19" t="s">
        <v>622</v>
      </c>
      <c r="B64" s="107" t="s">
        <v>2302</v>
      </c>
      <c r="C64" s="21"/>
      <c r="D64" s="47"/>
      <c r="E64" s="47"/>
      <c r="F64" s="23"/>
      <c r="G64" s="115"/>
      <c r="H64" s="28"/>
      <c r="I64" s="28" t="str">
        <f>IF(H64=0,"",IF(#REF!=0,"",H64*10000/#REF!))</f>
        <v/>
      </c>
      <c r="J64" s="43"/>
      <c r="K64" s="43"/>
      <c r="L64" s="43"/>
      <c r="M64" s="43"/>
      <c r="N64" s="58"/>
    </row>
    <row r="65" s="2" customFormat="1" ht="15" customHeight="1" spans="1:14">
      <c r="A65" s="19" t="s">
        <v>622</v>
      </c>
      <c r="B65" s="107" t="s">
        <v>2303</v>
      </c>
      <c r="C65" s="21"/>
      <c r="D65" s="47"/>
      <c r="E65" s="47"/>
      <c r="F65" s="23"/>
      <c r="G65" s="115"/>
      <c r="H65" s="28"/>
      <c r="I65" s="28"/>
      <c r="J65" s="43"/>
      <c r="K65" s="43"/>
      <c r="L65" s="43"/>
      <c r="M65" s="43"/>
      <c r="N65" s="58"/>
    </row>
    <row r="66" s="2" customFormat="1" ht="15" customHeight="1" spans="1:14">
      <c r="A66" s="19" t="s">
        <v>622</v>
      </c>
      <c r="B66" s="107" t="s">
        <v>2304</v>
      </c>
      <c r="C66" s="21"/>
      <c r="D66" s="47">
        <v>1</v>
      </c>
      <c r="E66" s="47"/>
      <c r="F66" s="23" t="e">
        <f>#REF!</f>
        <v>#REF!</v>
      </c>
      <c r="G66" s="115">
        <v>50</v>
      </c>
      <c r="H66" s="28" t="e">
        <f t="shared" ref="H66:H68" si="10">F66*G66*D66/10000</f>
        <v>#REF!</v>
      </c>
      <c r="I66" s="28" t="e">
        <f>IF(H66=0,"",IF(#REF!=0,"",H66*10000/#REF!))</f>
        <v>#REF!</v>
      </c>
      <c r="J66" s="43"/>
      <c r="K66" s="43"/>
      <c r="L66" s="43"/>
      <c r="M66" s="43"/>
      <c r="N66" s="58"/>
    </row>
    <row r="67" s="2" customFormat="1" ht="15" customHeight="1" spans="1:14">
      <c r="A67" s="19" t="s">
        <v>622</v>
      </c>
      <c r="B67" s="107" t="s">
        <v>2305</v>
      </c>
      <c r="C67" s="21"/>
      <c r="D67" s="47">
        <v>0.3</v>
      </c>
      <c r="E67" s="47"/>
      <c r="F67" s="23" t="e">
        <f>#REF!</f>
        <v>#REF!</v>
      </c>
      <c r="G67" s="115">
        <v>1200</v>
      </c>
      <c r="H67" s="28" t="e">
        <f t="shared" si="10"/>
        <v>#REF!</v>
      </c>
      <c r="I67" s="28" t="e">
        <f>IF(H67=0,"",IF(#REF!=0,"",H67*10000/#REF!))</f>
        <v>#REF!</v>
      </c>
      <c r="J67" s="43"/>
      <c r="K67" s="43"/>
      <c r="L67" s="43"/>
      <c r="M67" s="43"/>
      <c r="N67" s="58"/>
    </row>
    <row r="68" s="2" customFormat="1" ht="15" customHeight="1" spans="1:14">
      <c r="A68" s="125" t="s">
        <v>657</v>
      </c>
      <c r="B68" s="126" t="s">
        <v>2306</v>
      </c>
      <c r="C68" s="127"/>
      <c r="D68" s="128"/>
      <c r="E68" s="127"/>
      <c r="F68" s="128"/>
      <c r="G68" s="128"/>
      <c r="H68" s="129">
        <f t="shared" si="10"/>
        <v>0</v>
      </c>
      <c r="I68" s="129" t="str">
        <f>IF(H68=0,"",IF(#REF!=0,"",H68*10000/#REF!))</f>
        <v/>
      </c>
      <c r="J68" s="135"/>
      <c r="K68" s="135"/>
      <c r="L68" s="135"/>
      <c r="M68" s="135"/>
      <c r="N68" s="136"/>
    </row>
    <row r="69" s="2" customFormat="1" ht="15" customHeight="1" spans="1:14">
      <c r="A69" s="125" t="s">
        <v>762</v>
      </c>
      <c r="B69" s="126" t="s">
        <v>1803</v>
      </c>
      <c r="C69" s="127"/>
      <c r="D69" s="127"/>
      <c r="E69" s="127"/>
      <c r="F69" s="128"/>
      <c r="G69" s="127"/>
      <c r="H69" s="129" t="e">
        <f>SUM(H70:H71)</f>
        <v>#REF!</v>
      </c>
      <c r="I69" s="129" t="e">
        <f>IF(H69=0,"",IF(#REF!=0,"",H69*10000/#REF!))</f>
        <v>#REF!</v>
      </c>
      <c r="J69" s="135"/>
      <c r="K69" s="135"/>
      <c r="L69" s="135"/>
      <c r="M69" s="135"/>
      <c r="N69" s="136"/>
    </row>
    <row r="70" s="2" customFormat="1" ht="15" customHeight="1" spans="1:14">
      <c r="A70" s="19" t="s">
        <v>622</v>
      </c>
      <c r="B70" s="107" t="s">
        <v>2307</v>
      </c>
      <c r="C70" s="21"/>
      <c r="D70" s="23">
        <v>1</v>
      </c>
      <c r="E70" s="47"/>
      <c r="F70" s="23" t="e">
        <f>#REF!</f>
        <v>#REF!</v>
      </c>
      <c r="G70" s="115">
        <v>20</v>
      </c>
      <c r="H70" s="28" t="e">
        <f>F70*G70*D70/10000</f>
        <v>#REF!</v>
      </c>
      <c r="I70" s="28"/>
      <c r="J70" s="43"/>
      <c r="K70" s="43"/>
      <c r="L70" s="43"/>
      <c r="M70" s="43"/>
      <c r="N70" s="58"/>
    </row>
    <row r="71" s="2" customFormat="1" ht="15" customHeight="1" spans="1:14">
      <c r="A71" s="19" t="s">
        <v>622</v>
      </c>
      <c r="B71" s="107" t="s">
        <v>1813</v>
      </c>
      <c r="C71" s="21"/>
      <c r="D71" s="47"/>
      <c r="E71" s="47"/>
      <c r="F71" s="23" t="e">
        <f>#REF!</f>
        <v>#REF!</v>
      </c>
      <c r="G71" s="115"/>
      <c r="H71" s="28" t="e">
        <f>F71*G71*D71/10000</f>
        <v>#REF!</v>
      </c>
      <c r="I71" s="28"/>
      <c r="J71" s="43"/>
      <c r="K71" s="43"/>
      <c r="L71" s="43"/>
      <c r="M71" s="43"/>
      <c r="N71" s="58"/>
    </row>
    <row r="72" s="2" customFormat="1" ht="15" customHeight="1" spans="1:14">
      <c r="A72" s="125" t="s">
        <v>778</v>
      </c>
      <c r="B72" s="126" t="s">
        <v>1275</v>
      </c>
      <c r="C72" s="127"/>
      <c r="D72" s="127"/>
      <c r="E72" s="127"/>
      <c r="F72" s="128"/>
      <c r="G72" s="127"/>
      <c r="H72" s="129"/>
      <c r="I72" s="129" t="str">
        <f>IF(H72=0,"",IF(#REF!=0,"",H72*10000/#REF!))</f>
        <v/>
      </c>
      <c r="J72" s="135"/>
      <c r="K72" s="135"/>
      <c r="L72" s="135"/>
      <c r="M72" s="135"/>
      <c r="N72" s="136"/>
    </row>
    <row r="73" s="2" customFormat="1" ht="15" customHeight="1" spans="1:14">
      <c r="A73" s="120">
        <v>2</v>
      </c>
      <c r="B73" s="15" t="s">
        <v>2308</v>
      </c>
      <c r="C73" s="104"/>
      <c r="D73" s="104"/>
      <c r="E73" s="104"/>
      <c r="F73" s="105"/>
      <c r="G73" s="137"/>
      <c r="H73" s="106">
        <f>SUM(H74:H83)</f>
        <v>0</v>
      </c>
      <c r="I73" s="106" t="str">
        <f>IF(H73=0,"",IF(#REF!=0,"",H73*10000/#REF!))</f>
        <v/>
      </c>
      <c r="J73" s="130"/>
      <c r="K73" s="130"/>
      <c r="L73" s="130"/>
      <c r="M73" s="130"/>
      <c r="N73" s="131"/>
    </row>
    <row r="74" s="2" customFormat="1" ht="15" customHeight="1" spans="1:14">
      <c r="A74" s="125" t="s">
        <v>619</v>
      </c>
      <c r="B74" s="126" t="s">
        <v>2309</v>
      </c>
      <c r="C74" s="138"/>
      <c r="D74" s="143"/>
      <c r="E74" s="143"/>
      <c r="F74" s="139"/>
      <c r="G74" s="82"/>
      <c r="H74" s="141"/>
      <c r="I74" s="141" t="str">
        <f>IF(H74=0,"",IF(#REF!=0,"",H74*10000/#REF!))</f>
        <v/>
      </c>
      <c r="J74" s="158"/>
      <c r="K74" s="158"/>
      <c r="L74" s="158"/>
      <c r="M74" s="158"/>
      <c r="N74" s="159"/>
    </row>
    <row r="75" s="2" customFormat="1" ht="15" customHeight="1" spans="1:14">
      <c r="A75" s="125" t="s">
        <v>657</v>
      </c>
      <c r="B75" s="126" t="s">
        <v>1844</v>
      </c>
      <c r="C75" s="138"/>
      <c r="D75" s="143"/>
      <c r="E75" s="143"/>
      <c r="F75" s="139"/>
      <c r="G75" s="82"/>
      <c r="H75" s="141"/>
      <c r="I75" s="141" t="str">
        <f>IF(H75=0,"",IF(#REF!=0,"",H75*10000/#REF!))</f>
        <v/>
      </c>
      <c r="J75" s="158"/>
      <c r="K75" s="158"/>
      <c r="L75" s="158"/>
      <c r="M75" s="158"/>
      <c r="N75" s="159"/>
    </row>
    <row r="76" s="2" customFormat="1" ht="15" customHeight="1" spans="1:14">
      <c r="A76" s="125" t="s">
        <v>762</v>
      </c>
      <c r="B76" s="126" t="s">
        <v>2310</v>
      </c>
      <c r="C76" s="138"/>
      <c r="D76" s="139"/>
      <c r="E76" s="139"/>
      <c r="F76" s="139"/>
      <c r="G76" s="140"/>
      <c r="H76" s="141"/>
      <c r="I76" s="141" t="str">
        <f>IF(H76=0,"",IF(#REF!=0,"",H76*10000/#REF!))</f>
        <v/>
      </c>
      <c r="J76" s="158"/>
      <c r="K76" s="158"/>
      <c r="L76" s="158"/>
      <c r="M76" s="158"/>
      <c r="N76" s="159"/>
    </row>
    <row r="77" s="2" customFormat="1" ht="15" customHeight="1" spans="1:14">
      <c r="A77" s="125" t="s">
        <v>778</v>
      </c>
      <c r="B77" s="126" t="s">
        <v>1858</v>
      </c>
      <c r="C77" s="142"/>
      <c r="D77" s="143"/>
      <c r="E77" s="143"/>
      <c r="F77" s="139"/>
      <c r="G77" s="140"/>
      <c r="H77" s="141"/>
      <c r="I77" s="141" t="str">
        <f>IF(H77=0,"",IF(#REF!=0,"",H77*10000/#REF!))</f>
        <v/>
      </c>
      <c r="J77" s="158"/>
      <c r="K77" s="158"/>
      <c r="L77" s="158"/>
      <c r="M77" s="158"/>
      <c r="N77" s="159"/>
    </row>
    <row r="78" s="2" customFormat="1" ht="15" customHeight="1" spans="1:14">
      <c r="A78" s="125" t="s">
        <v>781</v>
      </c>
      <c r="B78" s="126" t="s">
        <v>2311</v>
      </c>
      <c r="C78" s="142"/>
      <c r="D78" s="143"/>
      <c r="E78" s="143"/>
      <c r="F78" s="139"/>
      <c r="G78" s="140"/>
      <c r="H78" s="141"/>
      <c r="I78" s="141"/>
      <c r="J78" s="158"/>
      <c r="K78" s="158"/>
      <c r="L78" s="158"/>
      <c r="M78" s="158"/>
      <c r="N78" s="159"/>
    </row>
    <row r="79" s="2" customFormat="1" ht="15" customHeight="1" spans="1:14">
      <c r="A79" s="125" t="s">
        <v>788</v>
      </c>
      <c r="B79" s="126" t="s">
        <v>2312</v>
      </c>
      <c r="C79" s="142"/>
      <c r="D79" s="143"/>
      <c r="E79" s="143"/>
      <c r="F79" s="139"/>
      <c r="G79" s="140"/>
      <c r="H79" s="141"/>
      <c r="I79" s="141"/>
      <c r="J79" s="158"/>
      <c r="K79" s="158"/>
      <c r="L79" s="158"/>
      <c r="M79" s="158"/>
      <c r="N79" s="159"/>
    </row>
    <row r="80" s="2" customFormat="1" ht="15" customHeight="1" spans="1:14">
      <c r="A80" s="125" t="s">
        <v>791</v>
      </c>
      <c r="B80" s="126" t="s">
        <v>1874</v>
      </c>
      <c r="C80" s="142"/>
      <c r="D80" s="143"/>
      <c r="E80" s="143"/>
      <c r="F80" s="139"/>
      <c r="G80" s="140"/>
      <c r="H80" s="141"/>
      <c r="I80" s="141"/>
      <c r="J80" s="158"/>
      <c r="K80" s="158"/>
      <c r="L80" s="158"/>
      <c r="M80" s="158"/>
      <c r="N80" s="159"/>
    </row>
    <row r="81" s="2" customFormat="1" ht="15" customHeight="1" spans="1:14">
      <c r="A81" s="125" t="s">
        <v>794</v>
      </c>
      <c r="B81" s="126" t="s">
        <v>1876</v>
      </c>
      <c r="C81" s="142"/>
      <c r="D81" s="143"/>
      <c r="E81" s="143"/>
      <c r="F81" s="139"/>
      <c r="G81" s="140"/>
      <c r="H81" s="141"/>
      <c r="I81" s="141"/>
      <c r="J81" s="158"/>
      <c r="K81" s="158"/>
      <c r="L81" s="158"/>
      <c r="M81" s="158"/>
      <c r="N81" s="159"/>
    </row>
    <row r="82" s="2" customFormat="1" ht="15" customHeight="1" spans="1:14">
      <c r="A82" s="125" t="s">
        <v>797</v>
      </c>
      <c r="B82" s="126" t="s">
        <v>1878</v>
      </c>
      <c r="C82" s="142"/>
      <c r="D82" s="143"/>
      <c r="E82" s="143"/>
      <c r="F82" s="139"/>
      <c r="G82" s="140"/>
      <c r="H82" s="141"/>
      <c r="I82" s="141"/>
      <c r="J82" s="158"/>
      <c r="K82" s="158"/>
      <c r="L82" s="158"/>
      <c r="M82" s="158"/>
      <c r="N82" s="159"/>
    </row>
    <row r="83" s="2" customFormat="1" ht="16.35" customHeight="1" spans="1:14">
      <c r="A83" s="125" t="s">
        <v>1519</v>
      </c>
      <c r="B83" s="126" t="s">
        <v>2313</v>
      </c>
      <c r="C83" s="142"/>
      <c r="D83" s="143"/>
      <c r="E83" s="143"/>
      <c r="F83" s="139"/>
      <c r="G83" s="140"/>
      <c r="H83" s="141"/>
      <c r="I83" s="141"/>
      <c r="J83" s="158"/>
      <c r="K83" s="158"/>
      <c r="L83" s="158"/>
      <c r="M83" s="158"/>
      <c r="N83" s="159"/>
    </row>
    <row r="84" s="2" customFormat="1" ht="16.35" customHeight="1" spans="1:14">
      <c r="A84" s="120">
        <v>3</v>
      </c>
      <c r="B84" s="121" t="s">
        <v>1705</v>
      </c>
      <c r="C84" s="104"/>
      <c r="D84" s="104"/>
      <c r="E84" s="104"/>
      <c r="F84" s="105"/>
      <c r="G84" s="137"/>
      <c r="H84" s="106">
        <f>SUM(H85:H87)</f>
        <v>0</v>
      </c>
      <c r="I84" s="106" t="str">
        <f>IF(H84=0,"",IF(#REF!=0,"",H84*10000/#REF!))</f>
        <v/>
      </c>
      <c r="J84" s="130"/>
      <c r="K84" s="130"/>
      <c r="L84" s="130"/>
      <c r="M84" s="130"/>
      <c r="N84" s="131"/>
    </row>
    <row r="85" s="2" customFormat="1" ht="16.35" customHeight="1" spans="1:14">
      <c r="A85" s="125" t="s">
        <v>619</v>
      </c>
      <c r="B85" s="126" t="s">
        <v>1705</v>
      </c>
      <c r="C85" s="138"/>
      <c r="D85" s="128">
        <v>1</v>
      </c>
      <c r="E85" s="127"/>
      <c r="F85" s="128"/>
      <c r="G85" s="128"/>
      <c r="H85" s="129">
        <f>F85*G85*D85/10000</f>
        <v>0</v>
      </c>
      <c r="I85" s="129" t="str">
        <f>IF(H85=0,"",IF(#REF!=0,"",H85*10000/#REF!))</f>
        <v/>
      </c>
      <c r="J85" s="158"/>
      <c r="K85" s="158"/>
      <c r="L85" s="158"/>
      <c r="M85" s="158"/>
      <c r="N85" s="159"/>
    </row>
    <row r="86" s="2" customFormat="1" ht="16.35" customHeight="1" spans="1:14">
      <c r="A86" s="125" t="s">
        <v>657</v>
      </c>
      <c r="B86" s="126" t="s">
        <v>2314</v>
      </c>
      <c r="C86" s="138"/>
      <c r="D86" s="143"/>
      <c r="E86" s="143"/>
      <c r="F86" s="139"/>
      <c r="G86" s="140"/>
      <c r="H86" s="141"/>
      <c r="I86" s="141"/>
      <c r="J86" s="158"/>
      <c r="K86" s="158"/>
      <c r="L86" s="158"/>
      <c r="M86" s="158"/>
      <c r="N86" s="159"/>
    </row>
    <row r="87" s="2" customFormat="1" ht="16.35" customHeight="1" spans="1:14">
      <c r="A87" s="125" t="s">
        <v>762</v>
      </c>
      <c r="B87" s="126" t="s">
        <v>2315</v>
      </c>
      <c r="C87" s="138"/>
      <c r="D87" s="143"/>
      <c r="E87" s="143"/>
      <c r="F87" s="139"/>
      <c r="G87" s="140"/>
      <c r="H87" s="141"/>
      <c r="I87" s="141"/>
      <c r="J87" s="158"/>
      <c r="K87" s="158"/>
      <c r="L87" s="158"/>
      <c r="M87" s="158"/>
      <c r="N87" s="159"/>
    </row>
    <row r="88" s="2" customFormat="1" ht="16.35" customHeight="1" spans="1:14">
      <c r="A88" s="120">
        <v>4</v>
      </c>
      <c r="B88" s="121" t="s">
        <v>554</v>
      </c>
      <c r="C88" s="104"/>
      <c r="D88" s="104"/>
      <c r="E88" s="104"/>
      <c r="F88" s="105"/>
      <c r="G88" s="104"/>
      <c r="H88" s="106">
        <f>SUM(H89:H91)</f>
        <v>0</v>
      </c>
      <c r="I88" s="106" t="str">
        <f>IF(H88=0,"",IF(#REF!=0,"",H88*10000/#REF!))</f>
        <v/>
      </c>
      <c r="J88" s="130"/>
      <c r="K88" s="130"/>
      <c r="L88" s="130"/>
      <c r="M88" s="130"/>
      <c r="N88" s="131"/>
    </row>
    <row r="89" s="2" customFormat="1" ht="16.35" customHeight="1" spans="1:14">
      <c r="A89" s="125" t="s">
        <v>619</v>
      </c>
      <c r="B89" s="126" t="s">
        <v>2316</v>
      </c>
      <c r="C89" s="142"/>
      <c r="D89" s="128">
        <v>1</v>
      </c>
      <c r="E89" s="127"/>
      <c r="F89" s="128"/>
      <c r="G89" s="128"/>
      <c r="H89" s="129">
        <f t="shared" ref="H89:H94" si="11">F89*G89*D89/10000</f>
        <v>0</v>
      </c>
      <c r="I89" s="129" t="str">
        <f>IF(H89=0,"",IF(#REF!=0,"",H89*10000/#REF!))</f>
        <v/>
      </c>
      <c r="J89" s="158"/>
      <c r="K89" s="158"/>
      <c r="L89" s="158"/>
      <c r="M89" s="158"/>
      <c r="N89" s="159"/>
    </row>
    <row r="90" s="2" customFormat="1" ht="16.35" customHeight="1" spans="1:14">
      <c r="A90" s="125" t="s">
        <v>657</v>
      </c>
      <c r="B90" s="126" t="s">
        <v>2317</v>
      </c>
      <c r="C90" s="142"/>
      <c r="D90" s="142"/>
      <c r="E90" s="142"/>
      <c r="F90" s="139"/>
      <c r="G90" s="144"/>
      <c r="H90" s="141"/>
      <c r="I90" s="141"/>
      <c r="J90" s="141"/>
      <c r="K90" s="141"/>
      <c r="L90" s="141"/>
      <c r="M90" s="141"/>
      <c r="N90" s="160"/>
    </row>
    <row r="91" s="2" customFormat="1" ht="16.35" customHeight="1" spans="1:14">
      <c r="A91" s="125" t="s">
        <v>762</v>
      </c>
      <c r="B91" s="126" t="s">
        <v>2318</v>
      </c>
      <c r="C91" s="142"/>
      <c r="D91" s="142"/>
      <c r="E91" s="142"/>
      <c r="F91" s="139"/>
      <c r="G91" s="144"/>
      <c r="H91" s="141"/>
      <c r="I91" s="141"/>
      <c r="J91" s="141"/>
      <c r="K91" s="141"/>
      <c r="L91" s="141"/>
      <c r="M91" s="141"/>
      <c r="N91" s="161"/>
    </row>
    <row r="92" s="2" customFormat="1" ht="16.35" customHeight="1" spans="1:14">
      <c r="A92" s="120">
        <v>5</v>
      </c>
      <c r="B92" s="121" t="s">
        <v>556</v>
      </c>
      <c r="C92" s="145" t="s">
        <v>505</v>
      </c>
      <c r="D92" s="145"/>
      <c r="E92" s="145"/>
      <c r="F92" s="146"/>
      <c r="G92" s="147"/>
      <c r="H92" s="106" t="e">
        <f>SUM(H93:H104)</f>
        <v>#REF!</v>
      </c>
      <c r="I92" s="106" t="e">
        <f>IF(H92=0,"",IF(#REF!=0,"",H92*10000/#REF!))</f>
        <v>#REF!</v>
      </c>
      <c r="J92" s="162"/>
      <c r="K92" s="162"/>
      <c r="L92" s="162"/>
      <c r="M92" s="162"/>
      <c r="N92" s="163"/>
    </row>
    <row r="93" s="2" customFormat="1" ht="16.35" customHeight="1" spans="1:14">
      <c r="A93" s="125" t="s">
        <v>619</v>
      </c>
      <c r="B93" s="126" t="s">
        <v>2319</v>
      </c>
      <c r="C93" s="142"/>
      <c r="D93" s="128">
        <v>1</v>
      </c>
      <c r="E93" s="127"/>
      <c r="F93" s="128"/>
      <c r="G93" s="128"/>
      <c r="H93" s="129">
        <f t="shared" si="11"/>
        <v>0</v>
      </c>
      <c r="I93" s="129" t="str">
        <f>IF(H93=0,"",IF(#REF!=0,"",H93*10000/#REF!))</f>
        <v/>
      </c>
      <c r="J93" s="141"/>
      <c r="K93" s="141"/>
      <c r="L93" s="141"/>
      <c r="M93" s="141"/>
      <c r="N93" s="161"/>
    </row>
    <row r="94" s="2" customFormat="1" ht="16.35" customHeight="1" spans="1:14">
      <c r="A94" s="125" t="s">
        <v>657</v>
      </c>
      <c r="B94" s="126" t="s">
        <v>1904</v>
      </c>
      <c r="C94" s="142"/>
      <c r="D94" s="128">
        <v>1</v>
      </c>
      <c r="E94" s="127"/>
      <c r="F94" s="128"/>
      <c r="G94" s="128"/>
      <c r="H94" s="129">
        <f t="shared" si="11"/>
        <v>0</v>
      </c>
      <c r="I94" s="129" t="str">
        <f>IF(H94=0,"",IF(#REF!=0,"",H94*10000/#REF!))</f>
        <v/>
      </c>
      <c r="J94" s="141"/>
      <c r="K94" s="141"/>
      <c r="L94" s="141"/>
      <c r="M94" s="141"/>
      <c r="N94" s="161"/>
    </row>
    <row r="95" s="2" customFormat="1" ht="16.35" customHeight="1" spans="1:14">
      <c r="A95" s="125" t="s">
        <v>762</v>
      </c>
      <c r="B95" s="126" t="s">
        <v>1906</v>
      </c>
      <c r="C95" s="142"/>
      <c r="D95" s="142"/>
      <c r="E95" s="142"/>
      <c r="F95" s="139"/>
      <c r="G95" s="144"/>
      <c r="H95" s="141"/>
      <c r="I95" s="141"/>
      <c r="J95" s="141"/>
      <c r="K95" s="141"/>
      <c r="L95" s="141"/>
      <c r="M95" s="141"/>
      <c r="N95" s="161"/>
    </row>
    <row r="96" s="2" customFormat="1" ht="16.35" customHeight="1" spans="1:14">
      <c r="A96" s="125" t="s">
        <v>778</v>
      </c>
      <c r="B96" s="126" t="s">
        <v>1908</v>
      </c>
      <c r="C96" s="142"/>
      <c r="D96" s="142"/>
      <c r="E96" s="142"/>
      <c r="F96" s="139"/>
      <c r="G96" s="144"/>
      <c r="H96" s="141"/>
      <c r="I96" s="141"/>
      <c r="J96" s="141"/>
      <c r="K96" s="141"/>
      <c r="L96" s="141"/>
      <c r="M96" s="141"/>
      <c r="N96" s="161"/>
    </row>
    <row r="97" s="2" customFormat="1" ht="16.35" customHeight="1" spans="1:14">
      <c r="A97" s="125" t="s">
        <v>781</v>
      </c>
      <c r="B97" s="126" t="s">
        <v>1910</v>
      </c>
      <c r="C97" s="142"/>
      <c r="D97" s="142"/>
      <c r="E97" s="142"/>
      <c r="F97" s="139"/>
      <c r="G97" s="144"/>
      <c r="H97" s="141"/>
      <c r="I97" s="141"/>
      <c r="J97" s="141"/>
      <c r="K97" s="141"/>
      <c r="L97" s="141"/>
      <c r="M97" s="141"/>
      <c r="N97" s="161"/>
    </row>
    <row r="98" s="2" customFormat="1" ht="16.35" customHeight="1" spans="1:14">
      <c r="A98" s="125" t="s">
        <v>788</v>
      </c>
      <c r="B98" s="126" t="s">
        <v>1914</v>
      </c>
      <c r="C98" s="142"/>
      <c r="D98" s="142"/>
      <c r="E98" s="142"/>
      <c r="F98" s="139"/>
      <c r="G98" s="144"/>
      <c r="H98" s="141"/>
      <c r="I98" s="141"/>
      <c r="J98" s="141"/>
      <c r="K98" s="141"/>
      <c r="L98" s="141"/>
      <c r="M98" s="141"/>
      <c r="N98" s="161"/>
    </row>
    <row r="99" s="2" customFormat="1" ht="16.35" customHeight="1" spans="1:14">
      <c r="A99" s="125" t="s">
        <v>791</v>
      </c>
      <c r="B99" s="126" t="s">
        <v>1781</v>
      </c>
      <c r="C99" s="142"/>
      <c r="D99" s="128">
        <v>1</v>
      </c>
      <c r="E99" s="127"/>
      <c r="F99" s="139" t="e">
        <f>#REF!</f>
        <v>#REF!</v>
      </c>
      <c r="G99" s="128">
        <v>80</v>
      </c>
      <c r="H99" s="129" t="e">
        <f>F99*G99*D99/10000</f>
        <v>#REF!</v>
      </c>
      <c r="I99" s="129" t="e">
        <f>IF(H99=0,"",IF(#REF!=0,"",H99*10000/#REF!))</f>
        <v>#REF!</v>
      </c>
      <c r="J99" s="141"/>
      <c r="K99" s="141"/>
      <c r="L99" s="141"/>
      <c r="M99" s="141"/>
      <c r="N99" s="161"/>
    </row>
    <row r="100" s="2" customFormat="1" ht="16.35" customHeight="1" spans="1:14">
      <c r="A100" s="125" t="s">
        <v>794</v>
      </c>
      <c r="B100" s="126" t="s">
        <v>1916</v>
      </c>
      <c r="C100" s="142"/>
      <c r="D100" s="142"/>
      <c r="E100" s="142"/>
      <c r="F100" s="139"/>
      <c r="G100" s="144"/>
      <c r="H100" s="129"/>
      <c r="I100" s="141"/>
      <c r="J100" s="141"/>
      <c r="K100" s="141"/>
      <c r="L100" s="141"/>
      <c r="M100" s="141"/>
      <c r="N100" s="161"/>
    </row>
    <row r="101" s="2" customFormat="1" ht="16.35" customHeight="1" spans="1:14">
      <c r="A101" s="125" t="s">
        <v>797</v>
      </c>
      <c r="B101" s="126" t="s">
        <v>1700</v>
      </c>
      <c r="C101" s="142"/>
      <c r="D101" s="142"/>
      <c r="E101" s="142"/>
      <c r="F101" s="139"/>
      <c r="G101" s="144"/>
      <c r="H101" s="141"/>
      <c r="I101" s="141"/>
      <c r="J101" s="141"/>
      <c r="K101" s="141"/>
      <c r="L101" s="141"/>
      <c r="M101" s="141"/>
      <c r="N101" s="161"/>
    </row>
    <row r="102" s="2" customFormat="1" ht="16.35" customHeight="1" spans="1:14">
      <c r="A102" s="125" t="s">
        <v>1519</v>
      </c>
      <c r="B102" s="126" t="s">
        <v>1919</v>
      </c>
      <c r="C102" s="142"/>
      <c r="D102" s="142"/>
      <c r="E102" s="142"/>
      <c r="F102" s="139"/>
      <c r="G102" s="144"/>
      <c r="H102" s="141"/>
      <c r="I102" s="141"/>
      <c r="J102" s="141"/>
      <c r="K102" s="141"/>
      <c r="L102" s="141"/>
      <c r="M102" s="141"/>
      <c r="N102" s="161"/>
    </row>
    <row r="103" s="2" customFormat="1" ht="16.35" customHeight="1" spans="1:14">
      <c r="A103" s="125" t="s">
        <v>1520</v>
      </c>
      <c r="B103" s="126" t="s">
        <v>1921</v>
      </c>
      <c r="C103" s="142"/>
      <c r="D103" s="142"/>
      <c r="E103" s="142"/>
      <c r="F103" s="139"/>
      <c r="G103" s="144"/>
      <c r="H103" s="141"/>
      <c r="I103" s="141"/>
      <c r="J103" s="141"/>
      <c r="K103" s="141"/>
      <c r="L103" s="141"/>
      <c r="M103" s="141"/>
      <c r="N103" s="161"/>
    </row>
    <row r="104" s="2" customFormat="1" ht="16.35" customHeight="1" spans="1:14">
      <c r="A104" s="125" t="s">
        <v>1727</v>
      </c>
      <c r="B104" s="126" t="s">
        <v>546</v>
      </c>
      <c r="C104" s="142"/>
      <c r="D104" s="142"/>
      <c r="E104" s="142"/>
      <c r="F104" s="139"/>
      <c r="G104" s="144"/>
      <c r="H104" s="141"/>
      <c r="I104" s="141"/>
      <c r="J104" s="141"/>
      <c r="K104" s="141"/>
      <c r="L104" s="141"/>
      <c r="M104" s="141"/>
      <c r="N104" s="161"/>
    </row>
    <row r="105" ht="16.35" customHeight="1" spans="1:14">
      <c r="A105" s="102" t="s">
        <v>557</v>
      </c>
      <c r="B105" s="103" t="s">
        <v>485</v>
      </c>
      <c r="C105" s="148"/>
      <c r="D105" s="149"/>
      <c r="E105" s="149"/>
      <c r="F105" s="149"/>
      <c r="G105" s="149"/>
      <c r="H105" s="150" t="e">
        <f>SUM(H106:H107)</f>
        <v>#REF!</v>
      </c>
      <c r="I105" s="150" t="e">
        <f>IF(H105=0,"",IF(#REF!=0,"",H105*10000/#REF!))</f>
        <v>#REF!</v>
      </c>
      <c r="J105" s="149"/>
      <c r="K105" s="149"/>
      <c r="L105" s="149"/>
      <c r="M105" s="149"/>
      <c r="N105" s="164"/>
    </row>
    <row r="106" ht="16.35" customHeight="1" spans="1:14">
      <c r="A106" s="151">
        <v>1</v>
      </c>
      <c r="B106" s="152" t="s">
        <v>2320</v>
      </c>
      <c r="C106" s="153"/>
      <c r="D106" s="154" t="e">
        <f>#REF!</f>
        <v>#REF!</v>
      </c>
      <c r="E106" s="154"/>
      <c r="F106" s="155"/>
      <c r="G106" s="155">
        <v>10000</v>
      </c>
      <c r="H106" s="156" t="e">
        <f>D106*F106*G106/10000</f>
        <v>#REF!</v>
      </c>
      <c r="I106" s="156" t="e">
        <f>IF(H106=0,"",IF(#REF!=0,"",H106*10000/#REF!))</f>
        <v>#REF!</v>
      </c>
      <c r="J106" s="156"/>
      <c r="K106" s="157"/>
      <c r="L106" s="157"/>
      <c r="M106" s="157"/>
      <c r="N106" s="165"/>
    </row>
    <row r="107" ht="16.35" customHeight="1" spans="1:14">
      <c r="A107" s="151">
        <v>2</v>
      </c>
      <c r="B107" s="152" t="s">
        <v>2321</v>
      </c>
      <c r="C107" s="153"/>
      <c r="D107" s="157"/>
      <c r="E107" s="157"/>
      <c r="F107" s="157"/>
      <c r="G107" s="157"/>
      <c r="H107" s="157"/>
      <c r="I107" s="106" t="str">
        <f>IF(H107=0,"",IF(#REF!=0,"",H107*10000/#REF!))</f>
        <v/>
      </c>
      <c r="J107" s="157"/>
      <c r="K107" s="157"/>
      <c r="L107" s="157"/>
      <c r="M107" s="157"/>
      <c r="N107" s="165"/>
    </row>
  </sheetData>
  <mergeCells count="1">
    <mergeCell ref="C1:F1"/>
  </mergeCells>
  <pageMargins left="0.75" right="0.75" top="1" bottom="1" header="0.5" footer="0.5"/>
  <pageSetup paperSize="9" orientation="portrait"/>
  <headerFooter alignWithMargins="0"/>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10"/>
  <sheetViews>
    <sheetView workbookViewId="0">
      <selection activeCell="F89" sqref="F89"/>
    </sheetView>
  </sheetViews>
  <sheetFormatPr defaultColWidth="9" defaultRowHeight="12"/>
  <cols>
    <col min="1" max="1" width="4.6" style="4" customWidth="1"/>
    <col min="2" max="2" width="22.1" style="4" customWidth="1"/>
    <col min="3" max="3" width="16.1" style="5" customWidth="1"/>
    <col min="4" max="5" width="6.1" style="1" customWidth="1"/>
    <col min="6" max="6" width="7.1" style="1" customWidth="1"/>
    <col min="7" max="7" width="8.1" style="1" customWidth="1"/>
    <col min="8" max="8" width="10.5" style="1" customWidth="1"/>
    <col min="9" max="9" width="8.1" style="1" customWidth="1"/>
    <col min="10" max="11" width="8.1" style="1" hidden="1" customWidth="1"/>
    <col min="12" max="12" width="10" style="1" hidden="1" customWidth="1"/>
    <col min="13" max="13" width="8.1" style="1" hidden="1" customWidth="1"/>
    <col min="14" max="14" width="27.5" style="4" customWidth="1"/>
    <col min="15" max="15" width="6.1" style="4" customWidth="1"/>
    <col min="16" max="16384" width="9" style="4"/>
  </cols>
  <sheetData>
    <row r="1" ht="18.15" customHeight="1" spans="2:6">
      <c r="B1" s="6" t="e">
        <f>#REF!</f>
        <v>#REF!</v>
      </c>
      <c r="C1" s="7" t="s">
        <v>1524</v>
      </c>
      <c r="D1" s="7"/>
      <c r="E1" s="7"/>
      <c r="F1" s="7"/>
    </row>
    <row r="2" s="1" customFormat="1" ht="30" customHeight="1" spans="1:14">
      <c r="A2" s="8" t="s">
        <v>21</v>
      </c>
      <c r="B2" s="9" t="s">
        <v>494</v>
      </c>
      <c r="C2" s="9" t="s">
        <v>606</v>
      </c>
      <c r="D2" s="100" t="s">
        <v>607</v>
      </c>
      <c r="E2" s="100" t="s">
        <v>608</v>
      </c>
      <c r="F2" s="100" t="s">
        <v>609</v>
      </c>
      <c r="G2" s="101" t="s">
        <v>2240</v>
      </c>
      <c r="H2" s="52" t="s">
        <v>2241</v>
      </c>
      <c r="I2" s="9" t="s">
        <v>503</v>
      </c>
      <c r="J2" s="51" t="s">
        <v>2242</v>
      </c>
      <c r="K2" s="52" t="s">
        <v>2243</v>
      </c>
      <c r="L2" s="52" t="s">
        <v>2244</v>
      </c>
      <c r="M2" s="53" t="s">
        <v>2245</v>
      </c>
      <c r="N2" s="54" t="s">
        <v>1300</v>
      </c>
    </row>
    <row r="3" s="2" customFormat="1" ht="18.75" customHeight="1" spans="1:14">
      <c r="A3" s="102" t="s">
        <v>533</v>
      </c>
      <c r="B3" s="103" t="s">
        <v>2246</v>
      </c>
      <c r="C3" s="12"/>
      <c r="D3" s="12"/>
      <c r="E3" s="12"/>
      <c r="F3" s="12"/>
      <c r="G3" s="12"/>
      <c r="H3" s="13" t="e">
        <f>H4+H14</f>
        <v>#REF!</v>
      </c>
      <c r="I3" s="13" t="e">
        <f>IF(H3=0,"",IF(#REF!=0,"",H3*10000/#REF!))</f>
        <v>#REF!</v>
      </c>
      <c r="J3" s="55"/>
      <c r="K3" s="55"/>
      <c r="L3" s="55"/>
      <c r="M3" s="55"/>
      <c r="N3" s="56"/>
    </row>
    <row r="4" s="2" customFormat="1" ht="15" customHeight="1" spans="1:14">
      <c r="A4" s="1825" t="s">
        <v>2247</v>
      </c>
      <c r="B4" s="15" t="s">
        <v>2248</v>
      </c>
      <c r="C4" s="104"/>
      <c r="D4" s="104"/>
      <c r="E4" s="104"/>
      <c r="F4" s="105"/>
      <c r="G4" s="104"/>
      <c r="H4" s="106" t="e">
        <f>H5+H9+H10+H13</f>
        <v>#REF!</v>
      </c>
      <c r="I4" s="106" t="e">
        <f>IF(H4=0,"",IF(#REF!=0,"",H4*10000/#REF!))</f>
        <v>#REF!</v>
      </c>
      <c r="J4" s="130"/>
      <c r="K4" s="130"/>
      <c r="L4" s="130"/>
      <c r="M4" s="130"/>
      <c r="N4" s="131"/>
    </row>
    <row r="5" s="2" customFormat="1" ht="15" customHeight="1" spans="1:14">
      <c r="A5" s="19" t="s">
        <v>622</v>
      </c>
      <c r="B5" s="20" t="s">
        <v>2249</v>
      </c>
      <c r="C5" s="22"/>
      <c r="D5" s="22"/>
      <c r="E5" s="22"/>
      <c r="F5" s="23"/>
      <c r="G5" s="22"/>
      <c r="H5" s="25" t="e">
        <f>SUM(H6:H8)</f>
        <v>#REF!</v>
      </c>
      <c r="I5" s="25" t="e">
        <f>IF(H5=0,"",IF(#REF!=0,"",H5*10000/#REF!))</f>
        <v>#REF!</v>
      </c>
      <c r="J5" s="59"/>
      <c r="K5" s="59"/>
      <c r="L5" s="59"/>
      <c r="M5" s="59"/>
      <c r="N5" s="58"/>
    </row>
    <row r="6" s="2" customFormat="1" ht="15" customHeight="1" spans="1:14">
      <c r="A6" s="19"/>
      <c r="B6" s="107" t="s">
        <v>2250</v>
      </c>
      <c r="C6" s="65" t="s">
        <v>2251</v>
      </c>
      <c r="D6" s="23">
        <v>9</v>
      </c>
      <c r="E6" s="23"/>
      <c r="F6" s="108" t="e">
        <f>#REF!</f>
        <v>#REF!</v>
      </c>
      <c r="G6" s="23" t="e">
        <f>可售底商!G6</f>
        <v>#REF!</v>
      </c>
      <c r="H6" s="25" t="e">
        <f t="shared" ref="H6:H9" si="0">F6*G6*D6/10000</f>
        <v>#REF!</v>
      </c>
      <c r="I6" s="25"/>
      <c r="J6" s="59"/>
      <c r="K6" s="59"/>
      <c r="L6" s="59"/>
      <c r="M6" s="59"/>
      <c r="N6" s="58"/>
    </row>
    <row r="7" s="2" customFormat="1" ht="15" customHeight="1" spans="1:14">
      <c r="A7" s="19"/>
      <c r="B7" s="107" t="s">
        <v>2503</v>
      </c>
      <c r="C7" s="65" t="s">
        <v>2251</v>
      </c>
      <c r="D7" s="23">
        <f>14-D6</f>
        <v>5</v>
      </c>
      <c r="E7" s="23"/>
      <c r="F7" s="108" t="e">
        <f>F6</f>
        <v>#REF!</v>
      </c>
      <c r="G7" s="23" t="e">
        <f>可售底商!#REF!</f>
        <v>#REF!</v>
      </c>
      <c r="H7" s="25" t="e">
        <f t="shared" si="0"/>
        <v>#REF!</v>
      </c>
      <c r="I7" s="25"/>
      <c r="J7" s="59"/>
      <c r="K7" s="59"/>
      <c r="L7" s="59"/>
      <c r="M7" s="59"/>
      <c r="N7" s="58"/>
    </row>
    <row r="8" s="2" customFormat="1" ht="15" customHeight="1" spans="1:14">
      <c r="A8" s="19"/>
      <c r="B8" s="107" t="s">
        <v>2252</v>
      </c>
      <c r="C8" s="65" t="s">
        <v>2251</v>
      </c>
      <c r="D8" s="23">
        <v>2</v>
      </c>
      <c r="E8" s="23"/>
      <c r="F8" s="23" t="e">
        <f>F6</f>
        <v>#REF!</v>
      </c>
      <c r="G8" s="23" t="e">
        <f>可售底商!G7</f>
        <v>#REF!</v>
      </c>
      <c r="H8" s="25" t="e">
        <f t="shared" si="0"/>
        <v>#REF!</v>
      </c>
      <c r="I8" s="25"/>
      <c r="J8" s="59"/>
      <c r="K8" s="59"/>
      <c r="L8" s="59"/>
      <c r="M8" s="59"/>
      <c r="N8" s="58"/>
    </row>
    <row r="9" s="2" customFormat="1" ht="15" customHeight="1" spans="1:14">
      <c r="A9" s="19" t="s">
        <v>622</v>
      </c>
      <c r="B9" s="64" t="s">
        <v>833</v>
      </c>
      <c r="C9" s="22" t="s">
        <v>505</v>
      </c>
      <c r="D9" s="23">
        <f>D6+D7</f>
        <v>14</v>
      </c>
      <c r="E9" s="23"/>
      <c r="F9" s="23" t="e">
        <f>#REF!</f>
        <v>#REF!</v>
      </c>
      <c r="G9" s="23" t="e">
        <f>可售底商!#REF!</f>
        <v>#REF!</v>
      </c>
      <c r="H9" s="25" t="e">
        <f t="shared" si="0"/>
        <v>#REF!</v>
      </c>
      <c r="I9" s="25" t="e">
        <f>IF(H9=0,"",IF(#REF!=0,"",H9*10000/#REF!))</f>
        <v>#REF!</v>
      </c>
      <c r="J9" s="59"/>
      <c r="K9" s="59"/>
      <c r="L9" s="59"/>
      <c r="M9" s="59"/>
      <c r="N9" s="58"/>
    </row>
    <row r="10" s="2" customFormat="1" ht="15" customHeight="1" spans="1:14">
      <c r="A10" s="19" t="s">
        <v>622</v>
      </c>
      <c r="B10" s="64" t="s">
        <v>2254</v>
      </c>
      <c r="C10" s="22"/>
      <c r="D10" s="22"/>
      <c r="E10" s="22"/>
      <c r="F10" s="23"/>
      <c r="G10" s="23"/>
      <c r="H10" s="25" t="e">
        <f>SUM(H11:H12)</f>
        <v>#REF!</v>
      </c>
      <c r="I10" s="25" t="e">
        <f>IF(H10=0,"",IF(#REF!=0,"",H10*10000/#REF!))</f>
        <v>#REF!</v>
      </c>
      <c r="J10" s="59"/>
      <c r="K10" s="59"/>
      <c r="L10" s="59"/>
      <c r="M10" s="59"/>
      <c r="N10" s="58"/>
    </row>
    <row r="11" s="2" customFormat="1" ht="15" customHeight="1" spans="1:14">
      <c r="A11" s="19"/>
      <c r="B11" s="107" t="s">
        <v>2255</v>
      </c>
      <c r="C11" s="22" t="s">
        <v>505</v>
      </c>
      <c r="D11" s="23">
        <v>1</v>
      </c>
      <c r="E11" s="23"/>
      <c r="F11" s="23" t="e">
        <f>#REF!</f>
        <v>#REF!</v>
      </c>
      <c r="G11" s="108">
        <v>170</v>
      </c>
      <c r="H11" s="25" t="e">
        <f t="shared" ref="H11:H13" si="1">F11*G11*D11/10000</f>
        <v>#REF!</v>
      </c>
      <c r="I11" s="25"/>
      <c r="J11" s="59"/>
      <c r="K11" s="59"/>
      <c r="L11" s="59"/>
      <c r="M11" s="59"/>
      <c r="N11" s="58"/>
    </row>
    <row r="12" s="2" customFormat="1" ht="15" customHeight="1" spans="1:14">
      <c r="A12" s="19"/>
      <c r="B12" s="107" t="s">
        <v>2256</v>
      </c>
      <c r="C12" s="22" t="s">
        <v>505</v>
      </c>
      <c r="D12" s="23">
        <v>1</v>
      </c>
      <c r="E12" s="23"/>
      <c r="F12" s="23" t="e">
        <f>#REF!</f>
        <v>#REF!</v>
      </c>
      <c r="G12" s="23">
        <v>5</v>
      </c>
      <c r="H12" s="25" t="e">
        <f t="shared" si="1"/>
        <v>#REF!</v>
      </c>
      <c r="I12" s="25"/>
      <c r="J12" s="59"/>
      <c r="K12" s="59"/>
      <c r="L12" s="59"/>
      <c r="M12" s="59"/>
      <c r="N12" s="58"/>
    </row>
    <row r="13" s="2" customFormat="1" ht="15" customHeight="1" spans="1:14">
      <c r="A13" s="19" t="s">
        <v>622</v>
      </c>
      <c r="B13" s="64" t="s">
        <v>849</v>
      </c>
      <c r="C13" s="22" t="s">
        <v>505</v>
      </c>
      <c r="D13" s="23">
        <v>1</v>
      </c>
      <c r="E13" s="23"/>
      <c r="F13" s="23" t="e">
        <f>#REF!</f>
        <v>#REF!</v>
      </c>
      <c r="G13" s="23">
        <v>40</v>
      </c>
      <c r="H13" s="25" t="e">
        <f t="shared" si="1"/>
        <v>#REF!</v>
      </c>
      <c r="I13" s="25" t="e">
        <f>IF(H13=0,"",IF(#REF!=0,"",H13*10000/#REF!))</f>
        <v>#REF!</v>
      </c>
      <c r="J13" s="59"/>
      <c r="K13" s="59"/>
      <c r="L13" s="59"/>
      <c r="M13" s="59"/>
      <c r="N13" s="58"/>
    </row>
    <row r="14" s="2" customFormat="1" ht="15" customHeight="1" spans="1:14">
      <c r="A14" s="1825" t="s">
        <v>2257</v>
      </c>
      <c r="B14" s="15" t="s">
        <v>2258</v>
      </c>
      <c r="C14" s="104"/>
      <c r="D14" s="104"/>
      <c r="E14" s="104"/>
      <c r="F14" s="105"/>
      <c r="G14" s="105"/>
      <c r="H14" s="106" t="e">
        <f>H15+H19+H20+H27+H34+H37+H40</f>
        <v>#REF!</v>
      </c>
      <c r="I14" s="106" t="e">
        <f>IF(H14=0,"",IF(#REF!=0,"",H14*10000/#REF!))</f>
        <v>#REF!</v>
      </c>
      <c r="J14" s="130"/>
      <c r="K14" s="130"/>
      <c r="L14" s="130"/>
      <c r="M14" s="130"/>
      <c r="N14" s="132"/>
    </row>
    <row r="15" s="2" customFormat="1" ht="15" customHeight="1" spans="1:14">
      <c r="A15" s="26" t="s">
        <v>622</v>
      </c>
      <c r="B15" s="1826" t="s">
        <v>2259</v>
      </c>
      <c r="C15" s="22" t="s">
        <v>505</v>
      </c>
      <c r="D15" s="22"/>
      <c r="E15" s="22"/>
      <c r="F15" s="23"/>
      <c r="G15" s="23"/>
      <c r="H15" s="28" t="e">
        <f>SUM(H16:H18)</f>
        <v>#REF!</v>
      </c>
      <c r="I15" s="28" t="e">
        <f>IF(H15=0,"",IF(#REF!=0,"",H15*10000/#REF!))</f>
        <v>#REF!</v>
      </c>
      <c r="J15" s="43"/>
      <c r="K15" s="43"/>
      <c r="L15" s="43"/>
      <c r="M15" s="43"/>
      <c r="N15" s="58"/>
    </row>
    <row r="16" s="2" customFormat="1" ht="15" customHeight="1" spans="1:14">
      <c r="A16" s="26"/>
      <c r="B16" s="1827" t="s">
        <v>1536</v>
      </c>
      <c r="C16" s="22" t="s">
        <v>505</v>
      </c>
      <c r="D16" s="22">
        <v>0.42</v>
      </c>
      <c r="E16" s="22"/>
      <c r="F16" s="23" t="e">
        <f>#REF!</f>
        <v>#REF!</v>
      </c>
      <c r="G16" s="109">
        <v>460</v>
      </c>
      <c r="H16" s="28" t="e">
        <f t="shared" ref="H16:H19" si="2">D16*F16*G16/10000</f>
        <v>#REF!</v>
      </c>
      <c r="I16" s="28"/>
      <c r="J16" s="43"/>
      <c r="K16" s="43"/>
      <c r="L16" s="43"/>
      <c r="M16" s="43"/>
      <c r="N16" s="58"/>
    </row>
    <row r="17" s="2" customFormat="1" ht="15" customHeight="1" spans="1:14">
      <c r="A17" s="26"/>
      <c r="B17" s="1827" t="s">
        <v>1543</v>
      </c>
      <c r="C17" s="22" t="s">
        <v>505</v>
      </c>
      <c r="D17" s="22">
        <v>60</v>
      </c>
      <c r="E17" s="22"/>
      <c r="F17" s="23" t="e">
        <f>#REF!</f>
        <v>#REF!</v>
      </c>
      <c r="G17" s="110" t="e">
        <f>#REF!</f>
        <v>#REF!</v>
      </c>
      <c r="H17" s="28" t="e">
        <f t="shared" si="2"/>
        <v>#REF!</v>
      </c>
      <c r="I17" s="28"/>
      <c r="J17" s="43"/>
      <c r="K17" s="43"/>
      <c r="L17" s="43"/>
      <c r="M17" s="43"/>
      <c r="N17" s="58"/>
    </row>
    <row r="18" s="2" customFormat="1" ht="15" customHeight="1" spans="1:14">
      <c r="A18" s="26"/>
      <c r="B18" s="1827" t="s">
        <v>1550</v>
      </c>
      <c r="C18" s="22" t="s">
        <v>505</v>
      </c>
      <c r="D18" s="22">
        <v>3.8</v>
      </c>
      <c r="E18" s="22"/>
      <c r="F18" s="23" t="e">
        <f>#REF!</f>
        <v>#REF!</v>
      </c>
      <c r="G18" s="109">
        <v>55</v>
      </c>
      <c r="H18" s="28" t="e">
        <f t="shared" si="2"/>
        <v>#REF!</v>
      </c>
      <c r="I18" s="28"/>
      <c r="J18" s="43"/>
      <c r="K18" s="43"/>
      <c r="L18" s="43"/>
      <c r="M18" s="43"/>
      <c r="N18" s="58"/>
    </row>
    <row r="19" s="2" customFormat="1" ht="15" customHeight="1" spans="1:14">
      <c r="A19" s="26" t="s">
        <v>622</v>
      </c>
      <c r="B19" s="1828" t="s">
        <v>1552</v>
      </c>
      <c r="C19" s="22" t="s">
        <v>505</v>
      </c>
      <c r="D19" s="22">
        <v>0.18</v>
      </c>
      <c r="E19" s="22"/>
      <c r="F19" s="23" t="e">
        <f>#REF!</f>
        <v>#REF!</v>
      </c>
      <c r="G19" s="109" t="e">
        <f>#REF!</f>
        <v>#REF!</v>
      </c>
      <c r="H19" s="28" t="e">
        <f t="shared" si="2"/>
        <v>#REF!</v>
      </c>
      <c r="I19" s="28" t="e">
        <f>IF(H19=0,"",IF(#REF!=0,"",H19*10000/#REF!))</f>
        <v>#REF!</v>
      </c>
      <c r="J19" s="43"/>
      <c r="K19" s="43"/>
      <c r="L19" s="43"/>
      <c r="M19" s="43"/>
      <c r="N19" s="58"/>
    </row>
    <row r="20" s="2" customFormat="1" ht="15" customHeight="1" spans="1:14">
      <c r="A20" s="26" t="s">
        <v>622</v>
      </c>
      <c r="B20" s="1828" t="s">
        <v>1564</v>
      </c>
      <c r="C20" s="22" t="s">
        <v>505</v>
      </c>
      <c r="D20" s="22"/>
      <c r="E20" s="22"/>
      <c r="F20" s="23"/>
      <c r="G20" s="111"/>
      <c r="H20" s="28" t="e">
        <f>SUM(H21:H26)</f>
        <v>#REF!</v>
      </c>
      <c r="I20" s="28" t="e">
        <f>IF(H20=0,"",IF(#REF!=0,"",H20*10000/#REF!))</f>
        <v>#REF!</v>
      </c>
      <c r="J20" s="43"/>
      <c r="K20" s="43"/>
      <c r="L20" s="43"/>
      <c r="M20" s="43"/>
      <c r="N20" s="58"/>
    </row>
    <row r="21" s="2" customFormat="1" ht="15" customHeight="1" spans="1:14">
      <c r="A21" s="26"/>
      <c r="B21" s="34" t="s">
        <v>2260</v>
      </c>
      <c r="C21" s="22" t="s">
        <v>505</v>
      </c>
      <c r="D21" s="40">
        <v>1</v>
      </c>
      <c r="E21" s="40"/>
      <c r="F21" s="23" t="e">
        <f>#REF!</f>
        <v>#REF!</v>
      </c>
      <c r="G21" s="109" t="e">
        <f>#REF!</f>
        <v>#REF!</v>
      </c>
      <c r="H21" s="28" t="e">
        <f t="shared" ref="H21:H26" si="3">F21*G21*D21/10000</f>
        <v>#REF!</v>
      </c>
      <c r="I21" s="28"/>
      <c r="J21" s="43"/>
      <c r="K21" s="43"/>
      <c r="L21" s="43"/>
      <c r="M21" s="43"/>
      <c r="N21" s="58"/>
    </row>
    <row r="22" s="2" customFormat="1" ht="15" customHeight="1" spans="1:14">
      <c r="A22" s="26"/>
      <c r="B22" s="34" t="s">
        <v>2261</v>
      </c>
      <c r="C22" s="22" t="s">
        <v>505</v>
      </c>
      <c r="D22" s="40">
        <v>1.8</v>
      </c>
      <c r="E22" s="40"/>
      <c r="F22" s="23" t="e">
        <f>#REF!</f>
        <v>#REF!</v>
      </c>
      <c r="G22" s="109" t="e">
        <f>#REF!</f>
        <v>#REF!</v>
      </c>
      <c r="H22" s="28" t="e">
        <f t="shared" si="3"/>
        <v>#REF!</v>
      </c>
      <c r="I22" s="28"/>
      <c r="J22" s="43"/>
      <c r="K22" s="43"/>
      <c r="L22" s="43"/>
      <c r="M22" s="43"/>
      <c r="N22" s="58"/>
    </row>
    <row r="23" s="2" customFormat="1" ht="15" customHeight="1" spans="1:14">
      <c r="A23" s="26"/>
      <c r="B23" s="34" t="s">
        <v>2262</v>
      </c>
      <c r="C23" s="22" t="s">
        <v>505</v>
      </c>
      <c r="D23" s="40">
        <f>D25+D26</f>
        <v>0.8</v>
      </c>
      <c r="E23" s="40"/>
      <c r="F23" s="23" t="e">
        <f>#REF!</f>
        <v>#REF!</v>
      </c>
      <c r="G23" s="109" t="e">
        <f>#REF!</f>
        <v>#REF!</v>
      </c>
      <c r="H23" s="28" t="e">
        <f t="shared" si="3"/>
        <v>#REF!</v>
      </c>
      <c r="I23" s="28"/>
      <c r="J23" s="43"/>
      <c r="K23" s="43"/>
      <c r="L23" s="43"/>
      <c r="M23" s="43"/>
      <c r="N23" s="58"/>
    </row>
    <row r="24" s="2" customFormat="1" ht="15" customHeight="1" spans="1:14">
      <c r="A24" s="26"/>
      <c r="B24" s="34" t="s">
        <v>2263</v>
      </c>
      <c r="C24" s="22" t="s">
        <v>505</v>
      </c>
      <c r="D24" s="40">
        <f>高层18!D18</f>
        <v>1.9</v>
      </c>
      <c r="E24" s="40"/>
      <c r="F24" s="23" t="e">
        <f>#REF!</f>
        <v>#REF!</v>
      </c>
      <c r="G24" s="109" t="e">
        <f>#REF!</f>
        <v>#REF!</v>
      </c>
      <c r="H24" s="28" t="e">
        <f t="shared" si="3"/>
        <v>#REF!</v>
      </c>
      <c r="I24" s="28"/>
      <c r="J24" s="43"/>
      <c r="K24" s="43"/>
      <c r="L24" s="43"/>
      <c r="M24" s="43"/>
      <c r="N24" s="58"/>
    </row>
    <row r="25" s="2" customFormat="1" ht="15" customHeight="1" spans="1:14">
      <c r="A25" s="26"/>
      <c r="B25" s="34" t="s">
        <v>2264</v>
      </c>
      <c r="C25" s="22" t="s">
        <v>505</v>
      </c>
      <c r="D25" s="40">
        <v>0.1</v>
      </c>
      <c r="E25" s="40"/>
      <c r="F25" s="23" t="e">
        <f>#REF!</f>
        <v>#REF!</v>
      </c>
      <c r="G25" s="109" t="e">
        <f>#REF!</f>
        <v>#REF!</v>
      </c>
      <c r="H25" s="28" t="e">
        <f t="shared" si="3"/>
        <v>#REF!</v>
      </c>
      <c r="I25" s="28"/>
      <c r="J25" s="43"/>
      <c r="K25" s="43"/>
      <c r="L25" s="43"/>
      <c r="M25" s="43"/>
      <c r="N25" s="58"/>
    </row>
    <row r="26" s="2" customFormat="1" ht="15" customHeight="1" spans="1:14">
      <c r="A26" s="26"/>
      <c r="B26" s="34" t="s">
        <v>2265</v>
      </c>
      <c r="C26" s="22" t="s">
        <v>505</v>
      </c>
      <c r="D26" s="40">
        <v>0.7</v>
      </c>
      <c r="E26" s="40"/>
      <c r="F26" s="23" t="e">
        <f>#REF!</f>
        <v>#REF!</v>
      </c>
      <c r="G26" s="109" t="e">
        <f>#REF!</f>
        <v>#REF!</v>
      </c>
      <c r="H26" s="28" t="e">
        <f t="shared" si="3"/>
        <v>#REF!</v>
      </c>
      <c r="I26" s="28"/>
      <c r="J26" s="43"/>
      <c r="K26" s="43"/>
      <c r="L26" s="43"/>
      <c r="M26" s="43"/>
      <c r="N26" s="58"/>
    </row>
    <row r="27" s="2" customFormat="1" ht="15" customHeight="1" spans="1:14">
      <c r="A27" s="26" t="s">
        <v>622</v>
      </c>
      <c r="B27" s="1828" t="s">
        <v>2266</v>
      </c>
      <c r="C27" s="22"/>
      <c r="D27" s="79"/>
      <c r="E27" s="79"/>
      <c r="F27" s="23"/>
      <c r="G27" s="111"/>
      <c r="H27" s="28" t="e">
        <f>SUM(H28:H33)</f>
        <v>#REF!</v>
      </c>
      <c r="I27" s="28" t="e">
        <f>IF(H27=0,"",IF(#REF!=0,"",H27*10000/#REF!))</f>
        <v>#REF!</v>
      </c>
      <c r="J27" s="43"/>
      <c r="K27" s="43"/>
      <c r="L27" s="43"/>
      <c r="M27" s="43"/>
      <c r="N27" s="58"/>
    </row>
    <row r="28" s="2" customFormat="1" ht="15" customHeight="1" spans="1:14">
      <c r="A28" s="26"/>
      <c r="B28" s="34" t="s">
        <v>2267</v>
      </c>
      <c r="C28" s="22" t="s">
        <v>505</v>
      </c>
      <c r="D28" s="40"/>
      <c r="E28" s="112"/>
      <c r="F28" s="23" t="e">
        <f>#REF!</f>
        <v>#REF!</v>
      </c>
      <c r="G28" s="109" t="e">
        <f>#REF!</f>
        <v>#REF!</v>
      </c>
      <c r="H28" s="28" t="e">
        <f t="shared" ref="H28:H33" si="4">F28*G28*D28/10000</f>
        <v>#REF!</v>
      </c>
      <c r="I28" s="28"/>
      <c r="J28" s="43"/>
      <c r="K28" s="43"/>
      <c r="L28" s="43"/>
      <c r="M28" s="43"/>
      <c r="N28" s="58"/>
    </row>
    <row r="29" s="2" customFormat="1" ht="15" customHeight="1" spans="1:14">
      <c r="A29" s="26"/>
      <c r="B29" s="34" t="s">
        <v>2268</v>
      </c>
      <c r="C29" s="22" t="s">
        <v>505</v>
      </c>
      <c r="D29" s="40">
        <v>0.1</v>
      </c>
      <c r="E29" s="112"/>
      <c r="F29" s="23" t="e">
        <f>#REF!</f>
        <v>#REF!</v>
      </c>
      <c r="G29" s="109" t="e">
        <f>#REF!</f>
        <v>#REF!</v>
      </c>
      <c r="H29" s="28" t="e">
        <f t="shared" si="4"/>
        <v>#REF!</v>
      </c>
      <c r="I29" s="28"/>
      <c r="J29" s="43"/>
      <c r="K29" s="43"/>
      <c r="L29" s="43"/>
      <c r="M29" s="43"/>
      <c r="N29" s="58"/>
    </row>
    <row r="30" s="2" customFormat="1" ht="15" customHeight="1" spans="1:14">
      <c r="A30" s="26"/>
      <c r="B30" s="34" t="s">
        <v>2269</v>
      </c>
      <c r="C30" s="22" t="s">
        <v>505</v>
      </c>
      <c r="D30" s="40"/>
      <c r="E30" s="112"/>
      <c r="F30" s="23" t="e">
        <f>#REF!</f>
        <v>#REF!</v>
      </c>
      <c r="G30" s="109" t="e">
        <f>#REF!</f>
        <v>#REF!</v>
      </c>
      <c r="H30" s="28" t="e">
        <f t="shared" si="4"/>
        <v>#REF!</v>
      </c>
      <c r="I30" s="28"/>
      <c r="J30" s="43"/>
      <c r="K30" s="43"/>
      <c r="L30" s="43"/>
      <c r="M30" s="43"/>
      <c r="N30" s="58"/>
    </row>
    <row r="31" s="2" customFormat="1" ht="15" customHeight="1" spans="1:14">
      <c r="A31" s="26"/>
      <c r="B31" s="34" t="s">
        <v>2270</v>
      </c>
      <c r="C31" s="80" t="s">
        <v>598</v>
      </c>
      <c r="D31" s="40"/>
      <c r="E31" s="113"/>
      <c r="F31" s="23" t="e">
        <f>#REF!</f>
        <v>#REF!</v>
      </c>
      <c r="G31" s="109" t="e">
        <f>#REF!</f>
        <v>#REF!</v>
      </c>
      <c r="H31" s="28" t="e">
        <f t="shared" si="4"/>
        <v>#REF!</v>
      </c>
      <c r="I31" s="28"/>
      <c r="J31" s="43"/>
      <c r="K31" s="43"/>
      <c r="L31" s="43"/>
      <c r="M31" s="43"/>
      <c r="N31" s="58"/>
    </row>
    <row r="32" s="2" customFormat="1" ht="15" customHeight="1" spans="1:14">
      <c r="A32" s="26"/>
      <c r="B32" s="34" t="s">
        <v>2271</v>
      </c>
      <c r="C32" s="80" t="s">
        <v>598</v>
      </c>
      <c r="D32" s="40">
        <v>1.3</v>
      </c>
      <c r="E32" s="113"/>
      <c r="F32" s="23" t="e">
        <f>#REF!</f>
        <v>#REF!</v>
      </c>
      <c r="G32" s="109" t="e">
        <f>#REF!</f>
        <v>#REF!</v>
      </c>
      <c r="H32" s="28" t="e">
        <f t="shared" si="4"/>
        <v>#REF!</v>
      </c>
      <c r="I32" s="28"/>
      <c r="J32" s="43"/>
      <c r="K32" s="43"/>
      <c r="L32" s="43"/>
      <c r="M32" s="43"/>
      <c r="N32" s="58"/>
    </row>
    <row r="33" s="2" customFormat="1" ht="15" customHeight="1" spans="1:14">
      <c r="A33" s="26"/>
      <c r="B33" s="34" t="s">
        <v>2272</v>
      </c>
      <c r="C33" s="22" t="s">
        <v>505</v>
      </c>
      <c r="D33" s="40">
        <v>0.05</v>
      </c>
      <c r="E33" s="113"/>
      <c r="F33" s="23" t="e">
        <f>#REF!</f>
        <v>#REF!</v>
      </c>
      <c r="G33" s="109" t="e">
        <f>#REF!</f>
        <v>#REF!</v>
      </c>
      <c r="H33" s="28" t="e">
        <f t="shared" si="4"/>
        <v>#REF!</v>
      </c>
      <c r="I33" s="28"/>
      <c r="J33" s="43"/>
      <c r="K33" s="43"/>
      <c r="L33" s="43"/>
      <c r="M33" s="43"/>
      <c r="N33" s="58"/>
    </row>
    <row r="34" s="2" customFormat="1" ht="15" customHeight="1" spans="1:14">
      <c r="A34" s="26" t="s">
        <v>622</v>
      </c>
      <c r="B34" s="39" t="s">
        <v>2273</v>
      </c>
      <c r="C34" s="22"/>
      <c r="D34" s="22"/>
      <c r="E34" s="22"/>
      <c r="F34" s="23"/>
      <c r="G34" s="111"/>
      <c r="H34" s="28" t="e">
        <f>SUM(H35:H36)</f>
        <v>#REF!</v>
      </c>
      <c r="I34" s="28" t="e">
        <f>IF(H34=0,"",IF(#REF!=0,"",H34*10000/#REF!))</f>
        <v>#REF!</v>
      </c>
      <c r="J34" s="43"/>
      <c r="K34" s="43"/>
      <c r="L34" s="43"/>
      <c r="M34" s="43"/>
      <c r="N34" s="58"/>
    </row>
    <row r="35" s="2" customFormat="1" ht="15" customHeight="1" spans="1:14">
      <c r="A35" s="26"/>
      <c r="B35" s="1829" t="s">
        <v>2274</v>
      </c>
      <c r="C35" s="22" t="s">
        <v>505</v>
      </c>
      <c r="D35" s="22">
        <v>1</v>
      </c>
      <c r="E35" s="22"/>
      <c r="F35" s="23" t="e">
        <f>#REF!</f>
        <v>#REF!</v>
      </c>
      <c r="G35" s="109" t="e">
        <f>#REF!</f>
        <v>#REF!</v>
      </c>
      <c r="H35" s="28" t="e">
        <f t="shared" ref="H35:H39" si="5">D35*F35*G35/10000</f>
        <v>#REF!</v>
      </c>
      <c r="I35" s="28" t="e">
        <f>IF(H35=0,"",IF(#REF!=0,"",H35*10000/#REF!))</f>
        <v>#REF!</v>
      </c>
      <c r="J35" s="43"/>
      <c r="K35" s="43"/>
      <c r="L35" s="43"/>
      <c r="M35" s="43"/>
      <c r="N35" s="58"/>
    </row>
    <row r="36" s="2" customFormat="1" ht="15" customHeight="1" spans="1:14">
      <c r="A36" s="26"/>
      <c r="B36" s="1829" t="s">
        <v>2275</v>
      </c>
      <c r="C36" s="22" t="s">
        <v>505</v>
      </c>
      <c r="D36" s="41">
        <v>0.03</v>
      </c>
      <c r="E36" s="41"/>
      <c r="F36" s="23" t="e">
        <f>#REF!</f>
        <v>#REF!</v>
      </c>
      <c r="G36" s="42" t="e">
        <f>SUM(I15,I19,I20,I35,I27)</f>
        <v>#REF!</v>
      </c>
      <c r="H36" s="28" t="e">
        <f t="shared" si="5"/>
        <v>#REF!</v>
      </c>
      <c r="I36" s="28"/>
      <c r="J36" s="43"/>
      <c r="K36" s="43"/>
      <c r="L36" s="43"/>
      <c r="M36" s="43"/>
      <c r="N36" s="61"/>
    </row>
    <row r="37" s="2" customFormat="1" ht="15" customHeight="1" spans="1:14">
      <c r="A37" s="19" t="s">
        <v>622</v>
      </c>
      <c r="B37" s="64" t="s">
        <v>2276</v>
      </c>
      <c r="C37" s="21"/>
      <c r="D37" s="114"/>
      <c r="E37" s="47"/>
      <c r="F37" s="23"/>
      <c r="G37" s="115"/>
      <c r="H37" s="116" t="e">
        <f>SUM(H38:H39)</f>
        <v>#REF!</v>
      </c>
      <c r="I37" s="28" t="e">
        <f>IF(H37=0,"",IF(#REF!=0,"",H37*10000/#REF!))</f>
        <v>#REF!</v>
      </c>
      <c r="J37" s="43"/>
      <c r="K37" s="43"/>
      <c r="L37" s="43"/>
      <c r="M37" s="43"/>
      <c r="N37" s="58"/>
    </row>
    <row r="38" s="2" customFormat="1" ht="15" customHeight="1" spans="1:14">
      <c r="A38" s="19"/>
      <c r="B38" s="107" t="s">
        <v>2405</v>
      </c>
      <c r="C38" s="65" t="s">
        <v>862</v>
      </c>
      <c r="D38" s="114">
        <v>2</v>
      </c>
      <c r="E38" s="108" t="s">
        <v>1015</v>
      </c>
      <c r="F38" s="23" t="e">
        <f>#REF!</f>
        <v>#REF!</v>
      </c>
      <c r="G38" s="115">
        <f>公寓!H46</f>
        <v>60</v>
      </c>
      <c r="H38" s="116" t="e">
        <f t="shared" si="5"/>
        <v>#REF!</v>
      </c>
      <c r="I38" s="28"/>
      <c r="J38" s="43"/>
      <c r="K38" s="43"/>
      <c r="L38" s="43"/>
      <c r="M38" s="43"/>
      <c r="N38" s="58"/>
    </row>
    <row r="39" s="2" customFormat="1" ht="15" customHeight="1" spans="1:14">
      <c r="A39" s="19"/>
      <c r="B39" s="107" t="s">
        <v>2406</v>
      </c>
      <c r="C39" s="65" t="s">
        <v>665</v>
      </c>
      <c r="D39" s="114">
        <v>0.6</v>
      </c>
      <c r="E39" s="108" t="s">
        <v>1015</v>
      </c>
      <c r="F39" s="23" t="e">
        <f>F36</f>
        <v>#REF!</v>
      </c>
      <c r="G39" s="115">
        <f>公寓!H47</f>
        <v>90</v>
      </c>
      <c r="H39" s="116" t="e">
        <f t="shared" si="5"/>
        <v>#REF!</v>
      </c>
      <c r="I39" s="28"/>
      <c r="J39" s="43"/>
      <c r="K39" s="43"/>
      <c r="L39" s="43"/>
      <c r="M39" s="43"/>
      <c r="N39" s="58"/>
    </row>
    <row r="40" s="2" customFormat="1" ht="15" customHeight="1" spans="1:14">
      <c r="A40" s="26" t="s">
        <v>622</v>
      </c>
      <c r="B40" s="27" t="s">
        <v>1275</v>
      </c>
      <c r="C40" s="22"/>
      <c r="D40" s="22"/>
      <c r="E40" s="22"/>
      <c r="F40" s="23"/>
      <c r="G40" s="111"/>
      <c r="H40" s="28" t="e">
        <f>SUM(H41)</f>
        <v>#REF!</v>
      </c>
      <c r="I40" s="28" t="e">
        <f>IF(H40=0,"",IF(#REF!=0,"",H40*10000/#REF!))</f>
        <v>#REF!</v>
      </c>
      <c r="J40" s="43"/>
      <c r="K40" s="43"/>
      <c r="L40" s="43"/>
      <c r="M40" s="43"/>
      <c r="N40" s="58"/>
    </row>
    <row r="41" s="2" customFormat="1" ht="15" customHeight="1" spans="1:14">
      <c r="A41" s="26"/>
      <c r="B41" s="43" t="s">
        <v>2277</v>
      </c>
      <c r="C41" s="22"/>
      <c r="D41" s="22">
        <v>1</v>
      </c>
      <c r="E41" s="22"/>
      <c r="F41" s="23" t="e">
        <f>#REF!</f>
        <v>#REF!</v>
      </c>
      <c r="G41" s="111">
        <v>50</v>
      </c>
      <c r="H41" s="28" t="e">
        <f t="shared" ref="H41:H48" si="6">D41*F41*G41/10000</f>
        <v>#REF!</v>
      </c>
      <c r="I41" s="28"/>
      <c r="J41" s="43"/>
      <c r="K41" s="43"/>
      <c r="L41" s="43"/>
      <c r="M41" s="43"/>
      <c r="N41" s="58"/>
    </row>
    <row r="42" s="2" customFormat="1" ht="15" customHeight="1" spans="1:14">
      <c r="A42" s="102" t="s">
        <v>533</v>
      </c>
      <c r="B42" s="103" t="s">
        <v>2278</v>
      </c>
      <c r="C42" s="12"/>
      <c r="D42" s="12"/>
      <c r="E42" s="12"/>
      <c r="F42" s="48"/>
      <c r="G42" s="12"/>
      <c r="H42" s="13" t="e">
        <f>H43+H54+H98</f>
        <v>#REF!</v>
      </c>
      <c r="I42" s="13" t="e">
        <f>IF(H42=0,"",IF(#REF!=0,"",H42*10000/#REF!))</f>
        <v>#REF!</v>
      </c>
      <c r="J42" s="55"/>
      <c r="K42" s="55"/>
      <c r="L42" s="55"/>
      <c r="M42" s="55"/>
      <c r="N42" s="63"/>
    </row>
    <row r="43" s="2" customFormat="1" ht="15" customHeight="1" spans="1:14">
      <c r="A43" s="1825" t="s">
        <v>2247</v>
      </c>
      <c r="B43" s="15" t="s">
        <v>2279</v>
      </c>
      <c r="C43" s="104"/>
      <c r="D43" s="104"/>
      <c r="E43" s="104"/>
      <c r="F43" s="105"/>
      <c r="G43" s="104"/>
      <c r="H43" s="106" t="e">
        <f>H44+H49+H48</f>
        <v>#REF!</v>
      </c>
      <c r="I43" s="106" t="e">
        <f>IF(H43=0,"",IF(#REF!=0,"",H43*10000/#REF!))</f>
        <v>#REF!</v>
      </c>
      <c r="J43" s="130"/>
      <c r="K43" s="130"/>
      <c r="L43" s="130"/>
      <c r="M43" s="130"/>
      <c r="N43" s="131"/>
    </row>
    <row r="44" s="2" customFormat="1" ht="15" customHeight="1" spans="1:14">
      <c r="A44" s="19" t="s">
        <v>622</v>
      </c>
      <c r="B44" s="20" t="s">
        <v>2280</v>
      </c>
      <c r="C44" s="22" t="s">
        <v>505</v>
      </c>
      <c r="D44" s="49"/>
      <c r="E44" s="49"/>
      <c r="F44" s="23"/>
      <c r="G44" s="22"/>
      <c r="H44" s="28" t="e">
        <f>SUM(H45:H47)</f>
        <v>#REF!</v>
      </c>
      <c r="I44" s="28" t="e">
        <f>IF(H44=0,"",IF(#REF!=0,"",H44*10000/#REF!))</f>
        <v>#REF!</v>
      </c>
      <c r="J44" s="43"/>
      <c r="K44" s="43"/>
      <c r="L44" s="43"/>
      <c r="M44" s="43"/>
      <c r="N44" s="58"/>
    </row>
    <row r="45" s="2" customFormat="1" ht="15" customHeight="1" spans="1:14">
      <c r="A45" s="19"/>
      <c r="B45" s="117" t="s">
        <v>2281</v>
      </c>
      <c r="C45" s="21" t="s">
        <v>505</v>
      </c>
      <c r="D45" s="21">
        <v>1</v>
      </c>
      <c r="E45" s="21"/>
      <c r="F45" s="23" t="e">
        <f>#REF!</f>
        <v>#REF!</v>
      </c>
      <c r="G45" s="23">
        <v>50</v>
      </c>
      <c r="H45" s="28" t="e">
        <f t="shared" si="6"/>
        <v>#REF!</v>
      </c>
      <c r="I45" s="28"/>
      <c r="J45" s="43"/>
      <c r="K45" s="43"/>
      <c r="L45" s="43"/>
      <c r="M45" s="43"/>
      <c r="N45" s="58"/>
    </row>
    <row r="46" s="2" customFormat="1" ht="15" customHeight="1" spans="1:14">
      <c r="A46" s="19"/>
      <c r="B46" s="117" t="s">
        <v>2282</v>
      </c>
      <c r="C46" s="21" t="s">
        <v>505</v>
      </c>
      <c r="D46" s="21">
        <v>1</v>
      </c>
      <c r="E46" s="21"/>
      <c r="F46" s="23" t="e">
        <f>#REF!</f>
        <v>#REF!</v>
      </c>
      <c r="G46" s="23">
        <v>10</v>
      </c>
      <c r="H46" s="28" t="e">
        <f t="shared" si="6"/>
        <v>#REF!</v>
      </c>
      <c r="I46" s="28"/>
      <c r="J46" s="43"/>
      <c r="K46" s="43"/>
      <c r="L46" s="43"/>
      <c r="M46" s="43"/>
      <c r="N46" s="58"/>
    </row>
    <row r="47" s="2" customFormat="1" ht="15" customHeight="1" spans="1:14">
      <c r="A47" s="19"/>
      <c r="B47" s="117" t="s">
        <v>2283</v>
      </c>
      <c r="C47" s="21" t="s">
        <v>505</v>
      </c>
      <c r="D47" s="21">
        <v>1</v>
      </c>
      <c r="E47" s="21"/>
      <c r="F47" s="23" t="e">
        <f>#REF!</f>
        <v>#REF!</v>
      </c>
      <c r="G47" s="23">
        <v>10</v>
      </c>
      <c r="H47" s="28" t="e">
        <f t="shared" si="6"/>
        <v>#REF!</v>
      </c>
      <c r="I47" s="28"/>
      <c r="J47" s="43"/>
      <c r="K47" s="43"/>
      <c r="L47" s="43"/>
      <c r="M47" s="43"/>
      <c r="N47" s="58"/>
    </row>
    <row r="48" s="2" customFormat="1" ht="15" customHeight="1" spans="1:14">
      <c r="A48" s="19" t="s">
        <v>622</v>
      </c>
      <c r="B48" s="20" t="s">
        <v>2284</v>
      </c>
      <c r="C48" s="21" t="s">
        <v>505</v>
      </c>
      <c r="D48" s="21">
        <v>1</v>
      </c>
      <c r="E48" s="21"/>
      <c r="F48" s="23" t="e">
        <f>#REF!</f>
        <v>#REF!</v>
      </c>
      <c r="G48" s="23"/>
      <c r="H48" s="28" t="e">
        <f t="shared" si="6"/>
        <v>#REF!</v>
      </c>
      <c r="I48" s="28" t="e">
        <f>IF(H48=0,"",IF(#REF!=0,"",H48*10000/#REF!))</f>
        <v>#REF!</v>
      </c>
      <c r="J48" s="43"/>
      <c r="K48" s="43"/>
      <c r="L48" s="43"/>
      <c r="M48" s="43"/>
      <c r="N48" s="58"/>
    </row>
    <row r="49" s="2" customFormat="1" ht="15" customHeight="1" spans="1:14">
      <c r="A49" s="19" t="s">
        <v>622</v>
      </c>
      <c r="B49" s="20" t="s">
        <v>2285</v>
      </c>
      <c r="C49" s="22" t="s">
        <v>505</v>
      </c>
      <c r="D49" s="49"/>
      <c r="E49" s="49"/>
      <c r="F49" s="23"/>
      <c r="G49" s="23"/>
      <c r="H49" s="28" t="e">
        <f>SUM(H50:H53)</f>
        <v>#REF!</v>
      </c>
      <c r="I49" s="28" t="e">
        <f>IF(H49=0,"",IF(#REF!=0,"",H49*10000/#REF!))</f>
        <v>#REF!</v>
      </c>
      <c r="J49" s="43"/>
      <c r="K49" s="43"/>
      <c r="L49" s="43"/>
      <c r="M49" s="43"/>
      <c r="N49" s="58"/>
    </row>
    <row r="50" s="2" customFormat="1" ht="16.5" customHeight="1" spans="1:14">
      <c r="A50" s="19"/>
      <c r="B50" s="117" t="s">
        <v>2286</v>
      </c>
      <c r="C50" s="21" t="s">
        <v>505</v>
      </c>
      <c r="D50" s="21">
        <v>1</v>
      </c>
      <c r="E50" s="21"/>
      <c r="F50" s="23" t="e">
        <f>#REF!</f>
        <v>#REF!</v>
      </c>
      <c r="G50" s="23">
        <v>80</v>
      </c>
      <c r="H50" s="28" t="e">
        <f t="shared" ref="H50:H53" si="7">D50*F50*G50/10000</f>
        <v>#REF!</v>
      </c>
      <c r="I50" s="28"/>
      <c r="J50" s="43"/>
      <c r="K50" s="43"/>
      <c r="L50" s="43"/>
      <c r="M50" s="43"/>
      <c r="N50" s="58"/>
    </row>
    <row r="51" s="2" customFormat="1" ht="15" customHeight="1" spans="1:14">
      <c r="A51" s="19"/>
      <c r="B51" s="117" t="s">
        <v>2502</v>
      </c>
      <c r="C51" s="21" t="s">
        <v>505</v>
      </c>
      <c r="D51" s="21">
        <v>1</v>
      </c>
      <c r="E51" s="21"/>
      <c r="F51" s="23" t="e">
        <f>#REF!</f>
        <v>#REF!</v>
      </c>
      <c r="G51" s="23">
        <v>10</v>
      </c>
      <c r="H51" s="28" t="e">
        <f t="shared" si="7"/>
        <v>#REF!</v>
      </c>
      <c r="I51" s="28"/>
      <c r="J51" s="43"/>
      <c r="K51" s="43"/>
      <c r="L51" s="43"/>
      <c r="M51" s="43"/>
      <c r="N51" s="58"/>
    </row>
    <row r="52" s="2" customFormat="1" ht="15" customHeight="1" spans="1:14">
      <c r="A52" s="19"/>
      <c r="B52" s="117" t="s">
        <v>2481</v>
      </c>
      <c r="C52" s="21" t="s">
        <v>505</v>
      </c>
      <c r="D52" s="21">
        <v>1</v>
      </c>
      <c r="E52" s="21"/>
      <c r="F52" s="23" t="e">
        <f>#REF!</f>
        <v>#REF!</v>
      </c>
      <c r="G52" s="23">
        <v>70</v>
      </c>
      <c r="H52" s="28" t="e">
        <f t="shared" si="7"/>
        <v>#REF!</v>
      </c>
      <c r="I52" s="28"/>
      <c r="J52" s="43"/>
      <c r="K52" s="43"/>
      <c r="L52" s="43"/>
      <c r="M52" s="43"/>
      <c r="N52" s="74"/>
    </row>
    <row r="53" s="2" customFormat="1" ht="15" customHeight="1" spans="1:14">
      <c r="A53" s="19"/>
      <c r="B53" s="117" t="s">
        <v>2358</v>
      </c>
      <c r="C53" s="21" t="s">
        <v>505</v>
      </c>
      <c r="D53" s="21">
        <v>1</v>
      </c>
      <c r="E53" s="21"/>
      <c r="F53" s="23" t="e">
        <f>#REF!</f>
        <v>#REF!</v>
      </c>
      <c r="G53" s="118">
        <v>10</v>
      </c>
      <c r="H53" s="28" t="e">
        <f t="shared" si="7"/>
        <v>#REF!</v>
      </c>
      <c r="I53" s="28"/>
      <c r="J53" s="43"/>
      <c r="K53" s="43"/>
      <c r="L53" s="43"/>
      <c r="M53" s="43"/>
      <c r="N53" s="58"/>
    </row>
    <row r="54" s="2" customFormat="1" ht="15" customHeight="1" spans="1:14">
      <c r="A54" s="1825" t="s">
        <v>2257</v>
      </c>
      <c r="B54" s="15" t="s">
        <v>2291</v>
      </c>
      <c r="C54" s="104"/>
      <c r="D54" s="104"/>
      <c r="E54" s="104"/>
      <c r="F54" s="105"/>
      <c r="G54" s="119"/>
      <c r="H54" s="106" t="e">
        <f>SUM(H55:H59)</f>
        <v>#REF!</v>
      </c>
      <c r="I54" s="106" t="e">
        <f>IF(H54=0,"",IF(#REF!=0,"",H54*10000/#REF!))</f>
        <v>#REF!</v>
      </c>
      <c r="J54" s="130"/>
      <c r="K54" s="130"/>
      <c r="L54" s="130"/>
      <c r="M54" s="130"/>
      <c r="N54" s="131"/>
    </row>
    <row r="55" s="2" customFormat="1" ht="15" customHeight="1" spans="1:14">
      <c r="A55" s="19" t="s">
        <v>622</v>
      </c>
      <c r="B55" s="20" t="s">
        <v>2292</v>
      </c>
      <c r="C55" s="66"/>
      <c r="D55" s="21"/>
      <c r="E55" s="21"/>
      <c r="F55" s="23"/>
      <c r="G55" s="111"/>
      <c r="H55" s="28">
        <f>F55*G55/10000</f>
        <v>0</v>
      </c>
      <c r="I55" s="28" t="str">
        <f>IF(H55=0,"",IF(#REF!=0,"",H55*10000/#REF!))</f>
        <v/>
      </c>
      <c r="J55" s="43"/>
      <c r="K55" s="43"/>
      <c r="L55" s="43"/>
      <c r="M55" s="43"/>
      <c r="N55" s="58"/>
    </row>
    <row r="56" s="2" customFormat="1" ht="15" customHeight="1" spans="1:14">
      <c r="A56" s="19" t="s">
        <v>622</v>
      </c>
      <c r="B56" s="64" t="s">
        <v>2293</v>
      </c>
      <c r="C56" s="66" t="s">
        <v>602</v>
      </c>
      <c r="D56" s="21" t="e">
        <f>#REF!</f>
        <v>#REF!</v>
      </c>
      <c r="E56" s="21"/>
      <c r="F56" s="23">
        <v>6</v>
      </c>
      <c r="G56" s="111">
        <v>650000</v>
      </c>
      <c r="H56" s="28" t="e">
        <f t="shared" ref="H56:H58" si="8">D56*F56*G56/10000</f>
        <v>#REF!</v>
      </c>
      <c r="I56" s="28" t="e">
        <f>IF(H56=0,"",IF(#REF!=0,"",H56*10000/#REF!))</f>
        <v>#REF!</v>
      </c>
      <c r="J56" s="43"/>
      <c r="K56" s="43"/>
      <c r="L56" s="43"/>
      <c r="M56" s="43"/>
      <c r="N56" s="58"/>
    </row>
    <row r="57" s="2" customFormat="1" ht="15" customHeight="1" spans="1:14">
      <c r="A57" s="19" t="s">
        <v>622</v>
      </c>
      <c r="B57" s="64" t="s">
        <v>2294</v>
      </c>
      <c r="C57" s="22" t="s">
        <v>505</v>
      </c>
      <c r="D57" s="21">
        <v>1</v>
      </c>
      <c r="E57" s="21"/>
      <c r="F57" s="23" t="e">
        <f>#REF!</f>
        <v>#REF!</v>
      </c>
      <c r="G57" s="84"/>
      <c r="H57" s="28" t="e">
        <f t="shared" si="8"/>
        <v>#REF!</v>
      </c>
      <c r="I57" s="28"/>
      <c r="J57" s="43"/>
      <c r="K57" s="43"/>
      <c r="L57" s="43"/>
      <c r="M57" s="43"/>
      <c r="N57" s="58"/>
    </row>
    <row r="58" s="2" customFormat="1" ht="15" customHeight="1" spans="1:14">
      <c r="A58" s="19" t="s">
        <v>622</v>
      </c>
      <c r="B58" s="20" t="s">
        <v>2295</v>
      </c>
      <c r="C58" s="22" t="s">
        <v>505</v>
      </c>
      <c r="D58" s="21">
        <v>1</v>
      </c>
      <c r="E58" s="21"/>
      <c r="F58" s="23" t="e">
        <f>#REF!</f>
        <v>#REF!</v>
      </c>
      <c r="G58" s="118">
        <v>120</v>
      </c>
      <c r="H58" s="28" t="e">
        <f t="shared" si="8"/>
        <v>#REF!</v>
      </c>
      <c r="I58" s="28" t="e">
        <f>IF(H58=0,"",IF(#REF!=0,"",H58*10000/#REF!))</f>
        <v>#REF!</v>
      </c>
      <c r="J58" s="43"/>
      <c r="K58" s="43"/>
      <c r="L58" s="43"/>
      <c r="M58" s="43"/>
      <c r="N58" s="58"/>
    </row>
    <row r="59" s="2" customFormat="1" ht="15" customHeight="1" spans="1:14">
      <c r="A59" s="19" t="s">
        <v>622</v>
      </c>
      <c r="B59" s="64" t="s">
        <v>933</v>
      </c>
      <c r="C59" s="66"/>
      <c r="D59" s="21">
        <v>1</v>
      </c>
      <c r="E59" s="21"/>
      <c r="F59" s="23" t="e">
        <f>#REF!</f>
        <v>#REF!</v>
      </c>
      <c r="G59" s="111">
        <v>40</v>
      </c>
      <c r="H59" s="28" t="e">
        <f>F59*G59/10000</f>
        <v>#REF!</v>
      </c>
      <c r="I59" s="28" t="e">
        <f>IF(H59=0,"",IF(#REF!=0,"",H59*10000/#REF!))</f>
        <v>#REF!</v>
      </c>
      <c r="J59" s="43"/>
      <c r="K59" s="43"/>
      <c r="L59" s="43"/>
      <c r="M59" s="43"/>
      <c r="N59" s="58"/>
    </row>
    <row r="60" s="2" customFormat="1" ht="15" customHeight="1" spans="1:14">
      <c r="A60" s="102" t="s">
        <v>547</v>
      </c>
      <c r="B60" s="103" t="s">
        <v>2296</v>
      </c>
      <c r="C60" s="12"/>
      <c r="D60" s="12"/>
      <c r="E60" s="12"/>
      <c r="F60" s="48"/>
      <c r="G60" s="12"/>
      <c r="H60" s="13" t="e">
        <f>H61+H76+H87+H91+H95</f>
        <v>#REF!</v>
      </c>
      <c r="I60" s="13" t="e">
        <f>IF(H60=0,"",IF(#REF!=0,"",H60*10000/#REF!))</f>
        <v>#REF!</v>
      </c>
      <c r="J60" s="55"/>
      <c r="K60" s="55"/>
      <c r="L60" s="55"/>
      <c r="M60" s="55"/>
      <c r="N60" s="63"/>
    </row>
    <row r="61" s="2" customFormat="1" ht="15" customHeight="1" spans="1:14">
      <c r="A61" s="120">
        <v>1</v>
      </c>
      <c r="B61" s="121" t="s">
        <v>550</v>
      </c>
      <c r="C61" s="122"/>
      <c r="D61" s="122"/>
      <c r="E61" s="122"/>
      <c r="F61" s="123"/>
      <c r="G61" s="122"/>
      <c r="H61" s="124" t="e">
        <f>H62+H71+H72+H75</f>
        <v>#REF!</v>
      </c>
      <c r="I61" s="124" t="e">
        <f>IF(H61=0,"",IF(#REF!=0,"",H61*10000/#REF!))</f>
        <v>#REF!</v>
      </c>
      <c r="J61" s="133"/>
      <c r="K61" s="133"/>
      <c r="L61" s="133"/>
      <c r="M61" s="133"/>
      <c r="N61" s="134"/>
    </row>
    <row r="62" s="2" customFormat="1" ht="15" customHeight="1" spans="1:14">
      <c r="A62" s="125" t="s">
        <v>619</v>
      </c>
      <c r="B62" s="126" t="s">
        <v>2297</v>
      </c>
      <c r="C62" s="127"/>
      <c r="D62" s="127"/>
      <c r="E62" s="127"/>
      <c r="F62" s="128"/>
      <c r="G62" s="127"/>
      <c r="H62" s="129" t="e">
        <f>SUM(H63:H70)</f>
        <v>#REF!</v>
      </c>
      <c r="I62" s="129" t="e">
        <f>IF(H62=0,"",IF(#REF!=0,"",H62*10000/#REF!))</f>
        <v>#REF!</v>
      </c>
      <c r="J62" s="135"/>
      <c r="K62" s="135"/>
      <c r="L62" s="135"/>
      <c r="M62" s="135"/>
      <c r="N62" s="136"/>
    </row>
    <row r="63" s="2" customFormat="1" ht="15" customHeight="1" spans="1:14">
      <c r="A63" s="19" t="s">
        <v>622</v>
      </c>
      <c r="B63" s="107" t="s">
        <v>2298</v>
      </c>
      <c r="C63" s="21"/>
      <c r="D63" s="47">
        <f>D26</f>
        <v>0.7</v>
      </c>
      <c r="E63" s="47"/>
      <c r="F63" s="23" t="e">
        <f>#REF!</f>
        <v>#REF!</v>
      </c>
      <c r="G63" s="115">
        <v>40</v>
      </c>
      <c r="H63" s="28" t="e">
        <f t="shared" ref="H63:H66" si="9">F63*G63*D63/10000</f>
        <v>#REF!</v>
      </c>
      <c r="I63" s="28" t="e">
        <f>IF(H63=0,"",IF(#REF!=0,"",H63*10000/#REF!))</f>
        <v>#REF!</v>
      </c>
      <c r="J63" s="43"/>
      <c r="K63" s="43"/>
      <c r="L63" s="43"/>
      <c r="M63" s="43"/>
      <c r="N63" s="58"/>
    </row>
    <row r="64" s="2" customFormat="1" ht="15" customHeight="1" spans="1:14">
      <c r="A64" s="19" t="s">
        <v>622</v>
      </c>
      <c r="B64" s="107" t="s">
        <v>2299</v>
      </c>
      <c r="C64" s="21"/>
      <c r="D64" s="47">
        <f>D25</f>
        <v>0.1</v>
      </c>
      <c r="E64" s="47"/>
      <c r="F64" s="23" t="e">
        <f>#REF!</f>
        <v>#REF!</v>
      </c>
      <c r="G64" s="115">
        <v>30</v>
      </c>
      <c r="H64" s="28" t="e">
        <f t="shared" si="9"/>
        <v>#REF!</v>
      </c>
      <c r="I64" s="28" t="e">
        <f>IF(H64=0,"",IF(#REF!=0,"",H64*10000/#REF!))</f>
        <v>#REF!</v>
      </c>
      <c r="J64" s="43"/>
      <c r="K64" s="43"/>
      <c r="L64" s="43"/>
      <c r="M64" s="43"/>
      <c r="N64" s="58"/>
    </row>
    <row r="65" s="2" customFormat="1" ht="15" customHeight="1" spans="1:14">
      <c r="A65" s="19" t="s">
        <v>622</v>
      </c>
      <c r="B65" s="107" t="s">
        <v>2300</v>
      </c>
      <c r="C65" s="21"/>
      <c r="D65" s="47"/>
      <c r="E65" s="47"/>
      <c r="F65" s="23"/>
      <c r="G65" s="115"/>
      <c r="H65" s="28"/>
      <c r="I65" s="28"/>
      <c r="J65" s="43"/>
      <c r="K65" s="43"/>
      <c r="L65" s="43"/>
      <c r="M65" s="43"/>
      <c r="N65" s="58"/>
    </row>
    <row r="66" s="2" customFormat="1" ht="15" customHeight="1" spans="1:14">
      <c r="A66" s="19" t="s">
        <v>622</v>
      </c>
      <c r="B66" s="107" t="s">
        <v>2301</v>
      </c>
      <c r="C66" s="21"/>
      <c r="D66" s="47">
        <v>0.2</v>
      </c>
      <c r="E66" s="47"/>
      <c r="F66" s="23" t="e">
        <f>#REF!</f>
        <v>#REF!</v>
      </c>
      <c r="G66" s="115">
        <v>1000</v>
      </c>
      <c r="H66" s="28" t="e">
        <f t="shared" si="9"/>
        <v>#REF!</v>
      </c>
      <c r="I66" s="28" t="e">
        <f>IF(H66=0,"",IF(#REF!=0,"",H66*10000/#REF!))</f>
        <v>#REF!</v>
      </c>
      <c r="J66" s="43"/>
      <c r="K66" s="43"/>
      <c r="L66" s="43"/>
      <c r="M66" s="43"/>
      <c r="N66" s="58"/>
    </row>
    <row r="67" s="2" customFormat="1" ht="15" customHeight="1" spans="1:14">
      <c r="A67" s="19" t="s">
        <v>622</v>
      </c>
      <c r="B67" s="107" t="s">
        <v>2302</v>
      </c>
      <c r="C67" s="21"/>
      <c r="D67" s="47"/>
      <c r="E67" s="47"/>
      <c r="F67" s="23"/>
      <c r="G67" s="115"/>
      <c r="H67" s="28">
        <v>20</v>
      </c>
      <c r="I67" s="28" t="e">
        <f>IF(H67=0,"",IF(#REF!=0,"",H67*10000/#REF!))</f>
        <v>#REF!</v>
      </c>
      <c r="J67" s="43"/>
      <c r="K67" s="43"/>
      <c r="L67" s="43"/>
      <c r="M67" s="43"/>
      <c r="N67" s="58"/>
    </row>
    <row r="68" s="2" customFormat="1" ht="15" customHeight="1" spans="1:14">
      <c r="A68" s="19" t="s">
        <v>622</v>
      </c>
      <c r="B68" s="107" t="s">
        <v>2303</v>
      </c>
      <c r="C68" s="21"/>
      <c r="D68" s="47"/>
      <c r="E68" s="47"/>
      <c r="F68" s="23"/>
      <c r="G68" s="115"/>
      <c r="H68" s="28"/>
      <c r="I68" s="28"/>
      <c r="J68" s="43"/>
      <c r="K68" s="43"/>
      <c r="L68" s="43"/>
      <c r="M68" s="43"/>
      <c r="N68" s="58"/>
    </row>
    <row r="69" s="2" customFormat="1" ht="15" customHeight="1" spans="1:14">
      <c r="A69" s="19" t="s">
        <v>622</v>
      </c>
      <c r="B69" s="107" t="s">
        <v>2304</v>
      </c>
      <c r="C69" s="21"/>
      <c r="D69" s="47"/>
      <c r="E69" s="47"/>
      <c r="F69" s="23"/>
      <c r="G69" s="115"/>
      <c r="H69" s="28"/>
      <c r="I69" s="28"/>
      <c r="J69" s="43"/>
      <c r="K69" s="43"/>
      <c r="L69" s="43"/>
      <c r="M69" s="43"/>
      <c r="N69" s="58"/>
    </row>
    <row r="70" s="2" customFormat="1" ht="15" customHeight="1" spans="1:14">
      <c r="A70" s="19" t="s">
        <v>622</v>
      </c>
      <c r="B70" s="107" t="s">
        <v>2305</v>
      </c>
      <c r="C70" s="21"/>
      <c r="D70" s="22">
        <v>0.1</v>
      </c>
      <c r="E70" s="47"/>
      <c r="F70" s="23" t="e">
        <f>#REF!</f>
        <v>#REF!</v>
      </c>
      <c r="G70" s="115">
        <v>1000</v>
      </c>
      <c r="H70" s="28" t="e">
        <f t="shared" ref="H70:H75" si="10">F70*G70*D70/10000</f>
        <v>#REF!</v>
      </c>
      <c r="I70" s="28" t="e">
        <f>IF(H70=0,"",IF(#REF!=0,"",H70*10000/#REF!))</f>
        <v>#REF!</v>
      </c>
      <c r="J70" s="43"/>
      <c r="K70" s="43"/>
      <c r="L70" s="43"/>
      <c r="M70" s="43"/>
      <c r="N70" s="58"/>
    </row>
    <row r="71" s="2" customFormat="1" ht="15" customHeight="1" spans="1:14">
      <c r="A71" s="125" t="s">
        <v>657</v>
      </c>
      <c r="B71" s="126" t="s">
        <v>2306</v>
      </c>
      <c r="C71" s="127"/>
      <c r="D71" s="128">
        <v>1</v>
      </c>
      <c r="E71" s="127"/>
      <c r="F71" s="128" t="e">
        <f>#REF!</f>
        <v>#REF!</v>
      </c>
      <c r="G71" s="128">
        <v>30</v>
      </c>
      <c r="H71" s="129" t="e">
        <f t="shared" si="10"/>
        <v>#REF!</v>
      </c>
      <c r="I71" s="129" t="e">
        <f>IF(H71=0,"",IF(#REF!=0,"",H71*10000/#REF!))</f>
        <v>#REF!</v>
      </c>
      <c r="J71" s="135"/>
      <c r="K71" s="135"/>
      <c r="L71" s="135"/>
      <c r="M71" s="135"/>
      <c r="N71" s="136"/>
    </row>
    <row r="72" s="2" customFormat="1" ht="15" customHeight="1" spans="1:14">
      <c r="A72" s="125" t="s">
        <v>762</v>
      </c>
      <c r="B72" s="126" t="s">
        <v>1803</v>
      </c>
      <c r="C72" s="127"/>
      <c r="D72" s="128"/>
      <c r="E72" s="127"/>
      <c r="F72" s="128"/>
      <c r="G72" s="128"/>
      <c r="H72" s="129" t="e">
        <f>SUM(H73:H74)</f>
        <v>#REF!</v>
      </c>
      <c r="I72" s="129" t="e">
        <f>IF(H72=0,"",IF(#REF!=0,"",H72*10000/#REF!))</f>
        <v>#REF!</v>
      </c>
      <c r="J72" s="135"/>
      <c r="K72" s="135"/>
      <c r="L72" s="135"/>
      <c r="M72" s="135"/>
      <c r="N72" s="136"/>
    </row>
    <row r="73" s="2" customFormat="1" ht="15" customHeight="1" spans="1:14">
      <c r="A73" s="19"/>
      <c r="B73" s="117" t="s">
        <v>2307</v>
      </c>
      <c r="C73" s="21"/>
      <c r="D73" s="23">
        <v>1</v>
      </c>
      <c r="E73" s="47"/>
      <c r="F73" s="23" t="e">
        <f>#REF!</f>
        <v>#REF!</v>
      </c>
      <c r="G73" s="115">
        <v>30</v>
      </c>
      <c r="H73" s="28" t="e">
        <f t="shared" si="10"/>
        <v>#REF!</v>
      </c>
      <c r="I73" s="28"/>
      <c r="J73" s="43"/>
      <c r="K73" s="43"/>
      <c r="L73" s="43"/>
      <c r="M73" s="43"/>
      <c r="N73" s="58"/>
    </row>
    <row r="74" s="2" customFormat="1" ht="15" customHeight="1" spans="1:14">
      <c r="A74" s="19"/>
      <c r="B74" s="117" t="s">
        <v>1813</v>
      </c>
      <c r="C74" s="21"/>
      <c r="D74" s="22">
        <v>0.16</v>
      </c>
      <c r="E74" s="47"/>
      <c r="F74" s="23" t="e">
        <f>#REF!</f>
        <v>#REF!</v>
      </c>
      <c r="G74" s="115">
        <v>650</v>
      </c>
      <c r="H74" s="28" t="e">
        <f t="shared" si="10"/>
        <v>#REF!</v>
      </c>
      <c r="I74" s="28"/>
      <c r="J74" s="43"/>
      <c r="K74" s="43"/>
      <c r="L74" s="43"/>
      <c r="M74" s="43"/>
      <c r="N74" s="58"/>
    </row>
    <row r="75" s="2" customFormat="1" ht="15" customHeight="1" spans="1:14">
      <c r="A75" s="125" t="s">
        <v>778</v>
      </c>
      <c r="B75" s="126" t="s">
        <v>1275</v>
      </c>
      <c r="C75" s="127"/>
      <c r="D75" s="128">
        <v>1</v>
      </c>
      <c r="E75" s="127"/>
      <c r="F75" s="128" t="e">
        <f>F71</f>
        <v>#REF!</v>
      </c>
      <c r="G75" s="128">
        <v>10</v>
      </c>
      <c r="H75" s="129" t="e">
        <f t="shared" si="10"/>
        <v>#REF!</v>
      </c>
      <c r="I75" s="129" t="e">
        <f>IF(H75=0,"",IF(#REF!=0,"",H75*10000/#REF!))</f>
        <v>#REF!</v>
      </c>
      <c r="J75" s="135"/>
      <c r="K75" s="135"/>
      <c r="L75" s="135"/>
      <c r="M75" s="135"/>
      <c r="N75" s="136"/>
    </row>
    <row r="76" s="2" customFormat="1" ht="15" customHeight="1" spans="1:14">
      <c r="A76" s="120">
        <v>2</v>
      </c>
      <c r="B76" s="15" t="s">
        <v>2308</v>
      </c>
      <c r="C76" s="104"/>
      <c r="D76" s="104"/>
      <c r="E76" s="104"/>
      <c r="F76" s="105"/>
      <c r="G76" s="137"/>
      <c r="H76" s="106" t="e">
        <f>SUM(H77:H86)</f>
        <v>#REF!</v>
      </c>
      <c r="I76" s="106" t="e">
        <f>IF(H76=0,"",IF(#REF!=0,"",H76*10000/#REF!))</f>
        <v>#REF!</v>
      </c>
      <c r="J76" s="130"/>
      <c r="K76" s="130"/>
      <c r="L76" s="130"/>
      <c r="M76" s="130"/>
      <c r="N76" s="131"/>
    </row>
    <row r="77" s="2" customFormat="1" ht="15" customHeight="1" spans="1:14">
      <c r="A77" s="125" t="s">
        <v>619</v>
      </c>
      <c r="B77" s="126" t="s">
        <v>2309</v>
      </c>
      <c r="C77" s="138"/>
      <c r="D77" s="128">
        <v>2</v>
      </c>
      <c r="E77" s="127"/>
      <c r="F77" s="128">
        <v>150</v>
      </c>
      <c r="G77" s="128">
        <v>5000</v>
      </c>
      <c r="H77" s="129">
        <f t="shared" ref="H77:H83" si="11">F77*G77*D77/10000</f>
        <v>150</v>
      </c>
      <c r="I77" s="129" t="e">
        <f>IF(H77=0,"",IF(#REF!=0,"",H77*10000/#REF!))</f>
        <v>#REF!</v>
      </c>
      <c r="J77" s="158"/>
      <c r="K77" s="158"/>
      <c r="L77" s="158"/>
      <c r="M77" s="158"/>
      <c r="N77" s="159"/>
    </row>
    <row r="78" s="2" customFormat="1" ht="15" customHeight="1" spans="1:14">
      <c r="A78" s="125" t="s">
        <v>657</v>
      </c>
      <c r="B78" s="126" t="s">
        <v>1844</v>
      </c>
      <c r="C78" s="138"/>
      <c r="D78" s="128">
        <v>2</v>
      </c>
      <c r="E78" s="127"/>
      <c r="F78" s="128">
        <v>70</v>
      </c>
      <c r="G78" s="128">
        <v>2000</v>
      </c>
      <c r="H78" s="129">
        <f t="shared" si="11"/>
        <v>28</v>
      </c>
      <c r="I78" s="129" t="e">
        <f>IF(H78=0,"",IF(#REF!=0,"",H78*10000/#REF!))</f>
        <v>#REF!</v>
      </c>
      <c r="J78" s="158"/>
      <c r="K78" s="158"/>
      <c r="L78" s="158"/>
      <c r="M78" s="158"/>
      <c r="N78" s="159"/>
    </row>
    <row r="79" s="2" customFormat="1" ht="15" customHeight="1" spans="1:14">
      <c r="A79" s="125" t="s">
        <v>762</v>
      </c>
      <c r="B79" s="126" t="s">
        <v>2310</v>
      </c>
      <c r="C79" s="138"/>
      <c r="D79" s="139"/>
      <c r="E79" s="139"/>
      <c r="F79" s="139"/>
      <c r="G79" s="140"/>
      <c r="H79" s="141"/>
      <c r="I79" s="141" t="str">
        <f>IF(H79=0,"",IF(#REF!=0,"",H79*10000/#REF!))</f>
        <v/>
      </c>
      <c r="J79" s="158"/>
      <c r="K79" s="158"/>
      <c r="L79" s="158"/>
      <c r="M79" s="158"/>
      <c r="N79" s="159"/>
    </row>
    <row r="80" s="2" customFormat="1" ht="15" customHeight="1" spans="1:14">
      <c r="A80" s="125" t="s">
        <v>778</v>
      </c>
      <c r="B80" s="126" t="s">
        <v>1858</v>
      </c>
      <c r="C80" s="142"/>
      <c r="D80" s="143"/>
      <c r="E80" s="143"/>
      <c r="F80" s="139"/>
      <c r="G80" s="140"/>
      <c r="H80" s="141"/>
      <c r="I80" s="141" t="str">
        <f>IF(H80=0,"",IF(#REF!=0,"",H80*10000/#REF!))</f>
        <v/>
      </c>
      <c r="J80" s="158"/>
      <c r="K80" s="158"/>
      <c r="L80" s="158"/>
      <c r="M80" s="158"/>
      <c r="N80" s="159"/>
    </row>
    <row r="81" s="2" customFormat="1" ht="15" customHeight="1" spans="1:14">
      <c r="A81" s="125" t="s">
        <v>781</v>
      </c>
      <c r="B81" s="126" t="s">
        <v>2311</v>
      </c>
      <c r="C81" s="142"/>
      <c r="D81" s="128">
        <v>2</v>
      </c>
      <c r="E81" s="127"/>
      <c r="F81" s="128" t="e">
        <f>#REF!</f>
        <v>#REF!</v>
      </c>
      <c r="G81" s="128">
        <v>10</v>
      </c>
      <c r="H81" s="129" t="e">
        <f t="shared" si="11"/>
        <v>#REF!</v>
      </c>
      <c r="I81" s="129" t="e">
        <f>IF(H81=0,"",IF(#REF!=0,"",H81*10000/#REF!))</f>
        <v>#REF!</v>
      </c>
      <c r="J81" s="158"/>
      <c r="K81" s="158"/>
      <c r="L81" s="158"/>
      <c r="M81" s="158"/>
      <c r="N81" s="159"/>
    </row>
    <row r="82" s="2" customFormat="1" ht="15" customHeight="1" spans="1:14">
      <c r="A82" s="125" t="s">
        <v>788</v>
      </c>
      <c r="B82" s="126" t="s">
        <v>2312</v>
      </c>
      <c r="C82" s="142"/>
      <c r="D82" s="128">
        <f>25*2</f>
        <v>50</v>
      </c>
      <c r="E82" s="127"/>
      <c r="F82" s="128">
        <v>40</v>
      </c>
      <c r="G82" s="128">
        <v>4000</v>
      </c>
      <c r="H82" s="129">
        <f t="shared" si="11"/>
        <v>800</v>
      </c>
      <c r="I82" s="129" t="e">
        <f>IF(H82=0,"",IF(#REF!=0,"",H82*10000/#REF!))</f>
        <v>#REF!</v>
      </c>
      <c r="J82" s="158"/>
      <c r="K82" s="158"/>
      <c r="L82" s="158"/>
      <c r="M82" s="158"/>
      <c r="N82" s="159"/>
    </row>
    <row r="83" s="2" customFormat="1" ht="15" customHeight="1" spans="1:14">
      <c r="A83" s="125" t="s">
        <v>791</v>
      </c>
      <c r="B83" s="126" t="s">
        <v>1874</v>
      </c>
      <c r="C83" s="142"/>
      <c r="D83" s="128" t="e">
        <f>D56</f>
        <v>#REF!</v>
      </c>
      <c r="E83" s="127"/>
      <c r="F83" s="128">
        <f>F56</f>
        <v>6</v>
      </c>
      <c r="G83" s="128">
        <v>100000</v>
      </c>
      <c r="H83" s="129" t="e">
        <f t="shared" si="11"/>
        <v>#REF!</v>
      </c>
      <c r="I83" s="129" t="e">
        <f>IF(H83=0,"",IF(#REF!=0,"",H83*10000/#REF!))</f>
        <v>#REF!</v>
      </c>
      <c r="J83" s="158"/>
      <c r="K83" s="158"/>
      <c r="L83" s="158"/>
      <c r="M83" s="158"/>
      <c r="N83" s="159"/>
    </row>
    <row r="84" s="2" customFormat="1" ht="15" customHeight="1" spans="1:14">
      <c r="A84" s="125" t="s">
        <v>794</v>
      </c>
      <c r="B84" s="126" t="s">
        <v>1876</v>
      </c>
      <c r="C84" s="142"/>
      <c r="D84" s="143"/>
      <c r="E84" s="143"/>
      <c r="F84" s="139"/>
      <c r="G84" s="140"/>
      <c r="H84" s="141"/>
      <c r="I84" s="141"/>
      <c r="J84" s="158"/>
      <c r="K84" s="158"/>
      <c r="L84" s="158"/>
      <c r="M84" s="158"/>
      <c r="N84" s="159"/>
    </row>
    <row r="85" s="2" customFormat="1" ht="15" customHeight="1" spans="1:14">
      <c r="A85" s="125" t="s">
        <v>797</v>
      </c>
      <c r="B85" s="126" t="s">
        <v>1878</v>
      </c>
      <c r="C85" s="142"/>
      <c r="D85" s="128">
        <f>D82</f>
        <v>50</v>
      </c>
      <c r="E85" s="127"/>
      <c r="F85" s="128">
        <v>130</v>
      </c>
      <c r="G85" s="128">
        <v>1000</v>
      </c>
      <c r="H85" s="129">
        <f>F85*G85*D85/10000</f>
        <v>650</v>
      </c>
      <c r="I85" s="129" t="e">
        <f>IF(H85=0,"",IF(#REF!=0,"",H85*10000/#REF!))</f>
        <v>#REF!</v>
      </c>
      <c r="J85" s="158"/>
      <c r="K85" s="158"/>
      <c r="L85" s="158"/>
      <c r="M85" s="158"/>
      <c r="N85" s="159" t="s">
        <v>2513</v>
      </c>
    </row>
    <row r="86" s="2" customFormat="1" ht="16.35" customHeight="1" spans="1:14">
      <c r="A86" s="125" t="s">
        <v>1519</v>
      </c>
      <c r="B86" s="126" t="s">
        <v>2313</v>
      </c>
      <c r="C86" s="142"/>
      <c r="D86" s="143"/>
      <c r="E86" s="143"/>
      <c r="F86" s="139"/>
      <c r="G86" s="140"/>
      <c r="H86" s="141"/>
      <c r="I86" s="141"/>
      <c r="J86" s="158"/>
      <c r="K86" s="158"/>
      <c r="L86" s="158"/>
      <c r="M86" s="158"/>
      <c r="N86" s="159"/>
    </row>
    <row r="87" s="2" customFormat="1" ht="16.35" customHeight="1" spans="1:14">
      <c r="A87" s="120">
        <v>3</v>
      </c>
      <c r="B87" s="121" t="s">
        <v>1705</v>
      </c>
      <c r="C87" s="104"/>
      <c r="D87" s="104"/>
      <c r="E87" s="104"/>
      <c r="F87" s="105"/>
      <c r="G87" s="137"/>
      <c r="H87" s="106">
        <f>SUM(H88:H90)</f>
        <v>375</v>
      </c>
      <c r="I87" s="106" t="e">
        <f>IF(H87=0,"",IF(#REF!=0,"",H87*10000/#REF!))</f>
        <v>#REF!</v>
      </c>
      <c r="J87" s="130"/>
      <c r="K87" s="130"/>
      <c r="L87" s="130"/>
      <c r="M87" s="130"/>
      <c r="N87" s="131"/>
    </row>
    <row r="88" s="2" customFormat="1" ht="16.35" customHeight="1" spans="1:14">
      <c r="A88" s="125" t="s">
        <v>619</v>
      </c>
      <c r="B88" s="126" t="s">
        <v>1705</v>
      </c>
      <c r="C88" s="138"/>
      <c r="D88" s="128">
        <f>D85</f>
        <v>50</v>
      </c>
      <c r="E88" s="127"/>
      <c r="F88" s="128">
        <v>30</v>
      </c>
      <c r="G88" s="128">
        <v>2500</v>
      </c>
      <c r="H88" s="129">
        <f>F88*G88*D88/10000</f>
        <v>375</v>
      </c>
      <c r="I88" s="129" t="e">
        <f>IF(H88=0,"",IF(#REF!=0,"",H88*10000/#REF!))</f>
        <v>#REF!</v>
      </c>
      <c r="J88" s="158"/>
      <c r="K88" s="158"/>
      <c r="L88" s="158"/>
      <c r="M88" s="158"/>
      <c r="N88" s="159" t="s">
        <v>2514</v>
      </c>
    </row>
    <row r="89" s="2" customFormat="1" ht="16.35" customHeight="1" spans="1:14">
      <c r="A89" s="125" t="s">
        <v>657</v>
      </c>
      <c r="B89" s="126" t="s">
        <v>2314</v>
      </c>
      <c r="C89" s="138"/>
      <c r="D89" s="143"/>
      <c r="E89" s="143"/>
      <c r="F89" s="139"/>
      <c r="G89" s="140"/>
      <c r="H89" s="141"/>
      <c r="I89" s="141"/>
      <c r="J89" s="158"/>
      <c r="K89" s="158"/>
      <c r="L89" s="158"/>
      <c r="M89" s="158"/>
      <c r="N89" s="159"/>
    </row>
    <row r="90" s="2" customFormat="1" ht="16.35" customHeight="1" spans="1:14">
      <c r="A90" s="125" t="s">
        <v>762</v>
      </c>
      <c r="B90" s="126" t="s">
        <v>2315</v>
      </c>
      <c r="C90" s="138"/>
      <c r="D90" s="143"/>
      <c r="E90" s="143"/>
      <c r="F90" s="139"/>
      <c r="G90" s="140"/>
      <c r="H90" s="141"/>
      <c r="I90" s="141"/>
      <c r="J90" s="158"/>
      <c r="K90" s="158"/>
      <c r="L90" s="158"/>
      <c r="M90" s="158"/>
      <c r="N90" s="159"/>
    </row>
    <row r="91" s="2" customFormat="1" ht="16.35" customHeight="1" spans="1:14">
      <c r="A91" s="120">
        <v>4</v>
      </c>
      <c r="B91" s="121" t="s">
        <v>554</v>
      </c>
      <c r="C91" s="104"/>
      <c r="D91" s="104"/>
      <c r="E91" s="104"/>
      <c r="F91" s="105"/>
      <c r="G91" s="104"/>
      <c r="H91" s="106" t="e">
        <f>SUM(H92:H94)</f>
        <v>#REF!</v>
      </c>
      <c r="I91" s="106" t="e">
        <f>IF(H91=0,"",IF(#REF!=0,"",H91*10000/#REF!))</f>
        <v>#REF!</v>
      </c>
      <c r="J91" s="130"/>
      <c r="K91" s="130"/>
      <c r="L91" s="130"/>
      <c r="M91" s="130"/>
      <c r="N91" s="131"/>
    </row>
    <row r="92" s="2" customFormat="1" ht="16.35" customHeight="1" spans="1:14">
      <c r="A92" s="125" t="s">
        <v>619</v>
      </c>
      <c r="B92" s="126" t="s">
        <v>2316</v>
      </c>
      <c r="C92" s="142"/>
      <c r="D92" s="128">
        <v>1</v>
      </c>
      <c r="E92" s="127"/>
      <c r="F92" s="128" t="e">
        <f>#REF!</f>
        <v>#REF!</v>
      </c>
      <c r="G92" s="128">
        <v>100</v>
      </c>
      <c r="H92" s="129" t="e">
        <f>F92*G92*D92/10000</f>
        <v>#REF!</v>
      </c>
      <c r="I92" s="129" t="e">
        <f>IF(H92=0,"",IF(#REF!=0,"",H92*10000/#REF!))</f>
        <v>#REF!</v>
      </c>
      <c r="J92" s="158"/>
      <c r="K92" s="158"/>
      <c r="L92" s="158"/>
      <c r="M92" s="158"/>
      <c r="N92" s="159"/>
    </row>
    <row r="93" s="2" customFormat="1" ht="16.35" customHeight="1" spans="1:14">
      <c r="A93" s="125" t="s">
        <v>657</v>
      </c>
      <c r="B93" s="126" t="s">
        <v>2317</v>
      </c>
      <c r="C93" s="142"/>
      <c r="D93" s="142"/>
      <c r="E93" s="142"/>
      <c r="F93" s="139"/>
      <c r="G93" s="144"/>
      <c r="H93" s="141"/>
      <c r="I93" s="141"/>
      <c r="J93" s="141"/>
      <c r="K93" s="141"/>
      <c r="L93" s="141"/>
      <c r="M93" s="141"/>
      <c r="N93" s="160"/>
    </row>
    <row r="94" s="2" customFormat="1" ht="16.35" customHeight="1" spans="1:14">
      <c r="A94" s="125" t="s">
        <v>762</v>
      </c>
      <c r="B94" s="126" t="s">
        <v>2318</v>
      </c>
      <c r="C94" s="142"/>
      <c r="D94" s="128">
        <v>1</v>
      </c>
      <c r="E94" s="127"/>
      <c r="F94" s="128" t="e">
        <f>#REF!</f>
        <v>#REF!</v>
      </c>
      <c r="G94" s="128"/>
      <c r="H94" s="129" t="e">
        <f>F94*G94*D94/10000</f>
        <v>#REF!</v>
      </c>
      <c r="I94" s="129" t="e">
        <f>IF(H94=0,"",IF(#REF!=0,"",H94*10000/#REF!))</f>
        <v>#REF!</v>
      </c>
      <c r="J94" s="141"/>
      <c r="K94" s="141"/>
      <c r="L94" s="141"/>
      <c r="M94" s="141"/>
      <c r="N94" s="161"/>
    </row>
    <row r="95" s="2" customFormat="1" ht="16.35" customHeight="1" spans="1:14">
      <c r="A95" s="120">
        <v>5</v>
      </c>
      <c r="B95" s="121" t="s">
        <v>556</v>
      </c>
      <c r="C95" s="145" t="s">
        <v>505</v>
      </c>
      <c r="D95" s="145"/>
      <c r="E95" s="145"/>
      <c r="F95" s="146"/>
      <c r="G95" s="147"/>
      <c r="H95" s="106" t="e">
        <f>SUM(H96:H107)</f>
        <v>#REF!</v>
      </c>
      <c r="I95" s="106" t="e">
        <f>IF(H95=0,"",IF(#REF!=0,"",H95*10000/#REF!))</f>
        <v>#REF!</v>
      </c>
      <c r="J95" s="162"/>
      <c r="K95" s="162"/>
      <c r="L95" s="162"/>
      <c r="M95" s="162"/>
      <c r="N95" s="163"/>
    </row>
    <row r="96" s="2" customFormat="1" ht="16.35" customHeight="1" spans="1:14">
      <c r="A96" s="125" t="s">
        <v>619</v>
      </c>
      <c r="B96" s="126" t="s">
        <v>2319</v>
      </c>
      <c r="C96" s="142"/>
      <c r="D96" s="128">
        <v>1</v>
      </c>
      <c r="E96" s="127"/>
      <c r="F96" s="128" t="e">
        <f>#REF!</f>
        <v>#REF!</v>
      </c>
      <c r="G96" s="128" t="e">
        <f>#REF!</f>
        <v>#REF!</v>
      </c>
      <c r="H96" s="129" t="e">
        <f>F96*G96/10000</f>
        <v>#REF!</v>
      </c>
      <c r="I96" s="129" t="e">
        <f>IF(H96=0,"",IF(#REF!=0,"",H96*10000/#REF!))</f>
        <v>#REF!</v>
      </c>
      <c r="J96" s="141"/>
      <c r="K96" s="141"/>
      <c r="L96" s="141"/>
      <c r="M96" s="141"/>
      <c r="N96" s="161"/>
    </row>
    <row r="97" s="2" customFormat="1" ht="16.35" customHeight="1" spans="1:14">
      <c r="A97" s="125" t="s">
        <v>657</v>
      </c>
      <c r="B97" s="126" t="s">
        <v>1904</v>
      </c>
      <c r="C97" s="142"/>
      <c r="D97" s="128"/>
      <c r="E97" s="127"/>
      <c r="F97" s="128"/>
      <c r="G97" s="128"/>
      <c r="H97" s="129"/>
      <c r="I97" s="129" t="str">
        <f>IF(H97=0,"",IF(#REF!=0,"",H97*10000/#REF!))</f>
        <v/>
      </c>
      <c r="J97" s="141"/>
      <c r="K97" s="141"/>
      <c r="L97" s="141"/>
      <c r="M97" s="141"/>
      <c r="N97" s="161"/>
    </row>
    <row r="98" s="2" customFormat="1" ht="16.35" customHeight="1" spans="1:14">
      <c r="A98" s="125" t="s">
        <v>762</v>
      </c>
      <c r="B98" s="126" t="s">
        <v>1906</v>
      </c>
      <c r="C98" s="142"/>
      <c r="D98" s="142"/>
      <c r="E98" s="142"/>
      <c r="F98" s="139"/>
      <c r="G98" s="144"/>
      <c r="H98" s="141"/>
      <c r="I98" s="141"/>
      <c r="J98" s="141"/>
      <c r="K98" s="141"/>
      <c r="L98" s="141"/>
      <c r="M98" s="141"/>
      <c r="N98" s="161"/>
    </row>
    <row r="99" s="2" customFormat="1" ht="16.35" customHeight="1" spans="1:14">
      <c r="A99" s="125" t="s">
        <v>778</v>
      </c>
      <c r="B99" s="126" t="s">
        <v>1908</v>
      </c>
      <c r="C99" s="142"/>
      <c r="D99" s="142"/>
      <c r="E99" s="142"/>
      <c r="F99" s="139"/>
      <c r="G99" s="144"/>
      <c r="H99" s="141"/>
      <c r="I99" s="141"/>
      <c r="J99" s="141"/>
      <c r="K99" s="141"/>
      <c r="L99" s="141"/>
      <c r="M99" s="141"/>
      <c r="N99" s="161"/>
    </row>
    <row r="100" s="2" customFormat="1" ht="16.35" customHeight="1" spans="1:14">
      <c r="A100" s="125" t="s">
        <v>781</v>
      </c>
      <c r="B100" s="126" t="s">
        <v>1910</v>
      </c>
      <c r="C100" s="142"/>
      <c r="D100" s="142"/>
      <c r="E100" s="142"/>
      <c r="F100" s="139"/>
      <c r="G100" s="144"/>
      <c r="H100" s="141"/>
      <c r="I100" s="141"/>
      <c r="J100" s="141"/>
      <c r="K100" s="141"/>
      <c r="L100" s="141"/>
      <c r="M100" s="141"/>
      <c r="N100" s="161"/>
    </row>
    <row r="101" s="2" customFormat="1" ht="16.35" customHeight="1" spans="1:14">
      <c r="A101" s="125" t="s">
        <v>788</v>
      </c>
      <c r="B101" s="126" t="s">
        <v>1914</v>
      </c>
      <c r="C101" s="142"/>
      <c r="D101" s="142"/>
      <c r="E101" s="142"/>
      <c r="F101" s="139"/>
      <c r="G101" s="144"/>
      <c r="H101" s="141"/>
      <c r="I101" s="141"/>
      <c r="J101" s="141"/>
      <c r="K101" s="141"/>
      <c r="L101" s="141"/>
      <c r="M101" s="141"/>
      <c r="N101" s="161"/>
    </row>
    <row r="102" s="2" customFormat="1" ht="16.35" customHeight="1" spans="1:14">
      <c r="A102" s="125" t="s">
        <v>791</v>
      </c>
      <c r="B102" s="126" t="s">
        <v>1781</v>
      </c>
      <c r="C102" s="142"/>
      <c r="D102" s="128">
        <v>1</v>
      </c>
      <c r="E102" s="127"/>
      <c r="F102" s="128" t="e">
        <f>#REF!</f>
        <v>#REF!</v>
      </c>
      <c r="G102" s="128">
        <v>60</v>
      </c>
      <c r="H102" s="129" t="e">
        <f>F102*G102*D102/10000</f>
        <v>#REF!</v>
      </c>
      <c r="I102" s="129" t="e">
        <f>IF(H102=0,"",IF(#REF!=0,"",H102*10000/#REF!))</f>
        <v>#REF!</v>
      </c>
      <c r="J102" s="141"/>
      <c r="K102" s="141"/>
      <c r="L102" s="141"/>
      <c r="M102" s="141"/>
      <c r="N102" s="161"/>
    </row>
    <row r="103" s="2" customFormat="1" ht="16.35" customHeight="1" spans="1:14">
      <c r="A103" s="125" t="s">
        <v>794</v>
      </c>
      <c r="B103" s="126" t="s">
        <v>1916</v>
      </c>
      <c r="C103" s="142"/>
      <c r="D103" s="142"/>
      <c r="E103" s="142"/>
      <c r="F103" s="139"/>
      <c r="G103" s="144"/>
      <c r="H103" s="141"/>
      <c r="I103" s="141"/>
      <c r="J103" s="141"/>
      <c r="K103" s="141"/>
      <c r="L103" s="141"/>
      <c r="M103" s="141"/>
      <c r="N103" s="161"/>
    </row>
    <row r="104" s="2" customFormat="1" ht="16.35" customHeight="1" spans="1:14">
      <c r="A104" s="125" t="s">
        <v>797</v>
      </c>
      <c r="B104" s="126" t="s">
        <v>1700</v>
      </c>
      <c r="C104" s="142"/>
      <c r="D104" s="142"/>
      <c r="E104" s="142"/>
      <c r="F104" s="139"/>
      <c r="G104" s="144"/>
      <c r="H104" s="141"/>
      <c r="I104" s="141"/>
      <c r="J104" s="141"/>
      <c r="K104" s="141"/>
      <c r="L104" s="141"/>
      <c r="M104" s="141"/>
      <c r="N104" s="161"/>
    </row>
    <row r="105" s="2" customFormat="1" ht="16.35" customHeight="1" spans="1:14">
      <c r="A105" s="125" t="s">
        <v>1519</v>
      </c>
      <c r="B105" s="126" t="s">
        <v>1919</v>
      </c>
      <c r="C105" s="142"/>
      <c r="D105" s="142"/>
      <c r="E105" s="142"/>
      <c r="F105" s="139"/>
      <c r="G105" s="144"/>
      <c r="H105" s="141"/>
      <c r="I105" s="141"/>
      <c r="J105" s="141"/>
      <c r="K105" s="141"/>
      <c r="L105" s="141"/>
      <c r="M105" s="141"/>
      <c r="N105" s="161"/>
    </row>
    <row r="106" s="2" customFormat="1" ht="16.35" customHeight="1" spans="1:14">
      <c r="A106" s="125" t="s">
        <v>1520</v>
      </c>
      <c r="B106" s="126" t="s">
        <v>1921</v>
      </c>
      <c r="C106" s="142"/>
      <c r="D106" s="142"/>
      <c r="E106" s="142"/>
      <c r="F106" s="139"/>
      <c r="G106" s="144"/>
      <c r="H106" s="141"/>
      <c r="I106" s="141"/>
      <c r="J106" s="141"/>
      <c r="K106" s="141"/>
      <c r="L106" s="141"/>
      <c r="M106" s="141"/>
      <c r="N106" s="161"/>
    </row>
    <row r="107" s="2" customFormat="1" ht="16.35" customHeight="1" spans="1:14">
      <c r="A107" s="125" t="s">
        <v>1727</v>
      </c>
      <c r="B107" s="126" t="s">
        <v>546</v>
      </c>
      <c r="C107" s="142"/>
      <c r="D107" s="142"/>
      <c r="E107" s="142"/>
      <c r="F107" s="139"/>
      <c r="G107" s="144"/>
      <c r="H107" s="141"/>
      <c r="I107" s="141"/>
      <c r="J107" s="141"/>
      <c r="K107" s="141"/>
      <c r="L107" s="141"/>
      <c r="M107" s="141"/>
      <c r="N107" s="161"/>
    </row>
    <row r="108" ht="16.35" customHeight="1" spans="1:14">
      <c r="A108" s="102" t="s">
        <v>557</v>
      </c>
      <c r="B108" s="103" t="s">
        <v>485</v>
      </c>
      <c r="C108" s="148"/>
      <c r="D108" s="149"/>
      <c r="E108" s="149"/>
      <c r="F108" s="149"/>
      <c r="G108" s="149"/>
      <c r="H108" s="150">
        <f>SUM(H109:H110)</f>
        <v>0</v>
      </c>
      <c r="I108" s="150" t="str">
        <f>IF(H108=0,"",IF(#REF!=0,"",H108*10000/#REF!))</f>
        <v/>
      </c>
      <c r="J108" s="149"/>
      <c r="K108" s="149"/>
      <c r="L108" s="149"/>
      <c r="M108" s="149"/>
      <c r="N108" s="164"/>
    </row>
    <row r="109" ht="16.35" customHeight="1" spans="1:14">
      <c r="A109" s="151">
        <v>1</v>
      </c>
      <c r="B109" s="152" t="s">
        <v>2320</v>
      </c>
      <c r="C109" s="153"/>
      <c r="D109" s="154"/>
      <c r="E109" s="154"/>
      <c r="F109" s="155"/>
      <c r="G109" s="155"/>
      <c r="H109" s="156">
        <f>D109*F109*G109/10000</f>
        <v>0</v>
      </c>
      <c r="I109" s="156" t="str">
        <f>IF(H109=0,"",IF(#REF!=0,"",H109*10000/#REF!))</f>
        <v/>
      </c>
      <c r="J109" s="157"/>
      <c r="K109" s="157"/>
      <c r="L109" s="157"/>
      <c r="M109" s="157"/>
      <c r="N109" s="165"/>
    </row>
    <row r="110" ht="16.35" customHeight="1" spans="1:14">
      <c r="A110" s="151">
        <v>2</v>
      </c>
      <c r="B110" s="152" t="s">
        <v>2321</v>
      </c>
      <c r="C110" s="153"/>
      <c r="D110" s="157"/>
      <c r="E110" s="157"/>
      <c r="F110" s="157"/>
      <c r="G110" s="157"/>
      <c r="H110" s="157"/>
      <c r="I110" s="106" t="str">
        <f>IF(H110=0,"",IF(#REF!=0,"",H110*10000/#REF!))</f>
        <v/>
      </c>
      <c r="J110" s="157"/>
      <c r="K110" s="157"/>
      <c r="L110" s="157"/>
      <c r="M110" s="157"/>
      <c r="N110" s="165"/>
    </row>
  </sheetData>
  <mergeCells count="1">
    <mergeCell ref="C1:F1"/>
  </mergeCells>
  <pageMargins left="0.75" right="0.75" top="1" bottom="1" header="0.5" footer="0.5"/>
  <pageSetup paperSize="9" orientation="portrait"/>
  <headerFooter alignWithMargins="0"/>
  <legacy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81"/>
  <sheetViews>
    <sheetView workbookViewId="0">
      <selection activeCell="E9" sqref="E9"/>
    </sheetView>
  </sheetViews>
  <sheetFormatPr defaultColWidth="9" defaultRowHeight="12"/>
  <cols>
    <col min="1" max="1" width="4.6" style="4" customWidth="1"/>
    <col min="2" max="2" width="18.9" style="4" customWidth="1"/>
    <col min="3" max="3" width="8.9" style="5" customWidth="1"/>
    <col min="4" max="4" width="5.9" style="2" customWidth="1"/>
    <col min="5" max="5" width="7.1" style="1" customWidth="1"/>
    <col min="6" max="6" width="8.1" style="2" customWidth="1"/>
    <col min="7" max="7" width="10.5" style="1" customWidth="1"/>
    <col min="8" max="8" width="8.1" style="1" customWidth="1"/>
    <col min="9" max="9" width="20" style="4" customWidth="1"/>
    <col min="10" max="10" width="6.6" style="4" customWidth="1"/>
    <col min="11" max="16384" width="9" style="4"/>
  </cols>
  <sheetData>
    <row r="1" ht="16.5" customHeight="1" spans="2:9">
      <c r="B1" s="6" t="e">
        <f>#REF!</f>
        <v>#REF!</v>
      </c>
      <c r="C1" s="7" t="s">
        <v>1524</v>
      </c>
      <c r="D1" s="7"/>
      <c r="E1" s="7"/>
      <c r="H1" s="1">
        <v>180</v>
      </c>
      <c r="I1" s="4">
        <v>200</v>
      </c>
    </row>
    <row r="2" s="1" customFormat="1" ht="30" customHeight="1" spans="1:9">
      <c r="A2" s="8" t="s">
        <v>21</v>
      </c>
      <c r="B2" s="9" t="s">
        <v>494</v>
      </c>
      <c r="C2" s="9" t="s">
        <v>606</v>
      </c>
      <c r="D2" s="9" t="s">
        <v>1295</v>
      </c>
      <c r="E2" s="1830" t="s">
        <v>2322</v>
      </c>
      <c r="F2" s="1830" t="s">
        <v>2240</v>
      </c>
      <c r="G2" s="9" t="s">
        <v>2241</v>
      </c>
      <c r="H2" s="9" t="s">
        <v>503</v>
      </c>
      <c r="I2" s="54" t="s">
        <v>1300</v>
      </c>
    </row>
    <row r="3" s="2" customFormat="1" ht="18.75" customHeight="1" spans="1:9">
      <c r="A3" s="10" t="s">
        <v>533</v>
      </c>
      <c r="B3" s="11" t="s">
        <v>2323</v>
      </c>
      <c r="C3" s="12"/>
      <c r="D3" s="87"/>
      <c r="E3" s="12"/>
      <c r="F3" s="87"/>
      <c r="G3" s="13" t="e">
        <f>G4+G9+G41+G46+G56</f>
        <v>#REF!</v>
      </c>
      <c r="H3" s="13" t="e">
        <f>IF(G3=0,"",IF(#REF!=0,"",G3*10000/#REF!))</f>
        <v>#REF!</v>
      </c>
      <c r="I3" s="56" t="e">
        <f>H3+H57</f>
        <v>#REF!</v>
      </c>
    </row>
    <row r="4" s="2" customFormat="1" ht="15" customHeight="1" spans="1:9">
      <c r="A4" s="1825" t="s">
        <v>2247</v>
      </c>
      <c r="B4" s="15" t="s">
        <v>2248</v>
      </c>
      <c r="C4" s="16"/>
      <c r="D4" s="88"/>
      <c r="E4" s="17"/>
      <c r="F4" s="88"/>
      <c r="G4" s="18" t="e">
        <f>SUM(G5:G8)</f>
        <v>#REF!</v>
      </c>
      <c r="H4" s="18" t="e">
        <f>IF(G4=0,"",IF(#REF!=0,"",G4*10000/#REF!))</f>
        <v>#REF!</v>
      </c>
      <c r="I4" s="58"/>
    </row>
    <row r="5" s="2" customFormat="1" ht="15" customHeight="1" outlineLevel="1" spans="1:9">
      <c r="A5" s="19" t="s">
        <v>622</v>
      </c>
      <c r="B5" s="20" t="s">
        <v>2249</v>
      </c>
      <c r="C5" s="80" t="s">
        <v>598</v>
      </c>
      <c r="D5" s="28">
        <v>3</v>
      </c>
      <c r="E5" s="23" t="e">
        <f>#REF!</f>
        <v>#REF!</v>
      </c>
      <c r="F5" s="36" t="e">
        <f>#REF!</f>
        <v>#REF!</v>
      </c>
      <c r="G5" s="25" t="e">
        <f t="shared" ref="G5:G8" si="0">E5*F5*D5/10000</f>
        <v>#REF!</v>
      </c>
      <c r="H5" s="25" t="e">
        <f>IF(G5=0,"",IF(#REF!=0,"",G5*10000/#REF!))</f>
        <v>#REF!</v>
      </c>
      <c r="I5" s="58"/>
    </row>
    <row r="6" s="2" customFormat="1" ht="15" customHeight="1" outlineLevel="1" spans="1:9">
      <c r="A6" s="19" t="s">
        <v>622</v>
      </c>
      <c r="B6" s="20" t="s">
        <v>2324</v>
      </c>
      <c r="C6" s="22" t="s">
        <v>505</v>
      </c>
      <c r="D6" s="28">
        <v>1</v>
      </c>
      <c r="E6" s="23" t="e">
        <f>#REF!</f>
        <v>#REF!</v>
      </c>
      <c r="F6" s="36"/>
      <c r="G6" s="25" t="e">
        <f t="shared" si="0"/>
        <v>#REF!</v>
      </c>
      <c r="H6" s="25" t="e">
        <f>IF(G6=0,"",IF(#REF!=0,"",G6*10000/#REF!))</f>
        <v>#REF!</v>
      </c>
      <c r="I6" s="58"/>
    </row>
    <row r="7" s="2" customFormat="1" ht="15" customHeight="1" outlineLevel="1" spans="1:9">
      <c r="A7" s="19" t="s">
        <v>622</v>
      </c>
      <c r="B7" s="20" t="s">
        <v>2325</v>
      </c>
      <c r="C7" s="22" t="s">
        <v>505</v>
      </c>
      <c r="D7" s="28">
        <v>1</v>
      </c>
      <c r="E7" s="23" t="e">
        <f>#REF!+#REF!</f>
        <v>#REF!</v>
      </c>
      <c r="F7" s="36" t="e">
        <f>#REF!</f>
        <v>#REF!</v>
      </c>
      <c r="G7" s="25" t="e">
        <f t="shared" si="0"/>
        <v>#REF!</v>
      </c>
      <c r="H7" s="25" t="e">
        <f>IF(G7=0,"",IF(#REF!=0,"",G7*10000/#REF!))</f>
        <v>#REF!</v>
      </c>
      <c r="I7" s="61"/>
    </row>
    <row r="8" s="2" customFormat="1" ht="15" customHeight="1" outlineLevel="1" spans="1:9">
      <c r="A8" s="19" t="s">
        <v>622</v>
      </c>
      <c r="B8" s="20" t="s">
        <v>2327</v>
      </c>
      <c r="C8" s="22" t="s">
        <v>505</v>
      </c>
      <c r="D8" s="28">
        <v>1</v>
      </c>
      <c r="E8" s="23" t="e">
        <f>#REF!+#REF!</f>
        <v>#REF!</v>
      </c>
      <c r="F8" s="36" t="e">
        <f>#REF!</f>
        <v>#REF!</v>
      </c>
      <c r="G8" s="25" t="e">
        <f t="shared" si="0"/>
        <v>#REF!</v>
      </c>
      <c r="H8" s="25" t="e">
        <f>IF(G8=0,"",IF(#REF!=0,"",G8*10000/#REF!))</f>
        <v>#REF!</v>
      </c>
      <c r="I8" s="58"/>
    </row>
    <row r="9" s="2" customFormat="1" ht="15" customHeight="1" spans="1:9">
      <c r="A9" s="1825" t="s">
        <v>2257</v>
      </c>
      <c r="B9" s="15" t="s">
        <v>2258</v>
      </c>
      <c r="C9" s="16"/>
      <c r="D9" s="88"/>
      <c r="E9" s="17"/>
      <c r="F9" s="88"/>
      <c r="G9" s="18" t="e">
        <f>G10+G23+G24+G30+G36</f>
        <v>#REF!</v>
      </c>
      <c r="H9" s="18" t="e">
        <f>IF(G9=0,"",IF(#REF!=0,"",G9*10000/#REF!))</f>
        <v>#REF!</v>
      </c>
      <c r="I9" s="60"/>
    </row>
    <row r="10" s="2" customFormat="1" ht="15" customHeight="1" outlineLevel="1" spans="1:9">
      <c r="A10" s="26" t="s">
        <v>622</v>
      </c>
      <c r="B10" s="1826" t="s">
        <v>2259</v>
      </c>
      <c r="C10" s="22" t="s">
        <v>505</v>
      </c>
      <c r="D10" s="36"/>
      <c r="E10" s="23"/>
      <c r="F10" s="36"/>
      <c r="G10" s="28" t="e">
        <f>G11+G19</f>
        <v>#REF!</v>
      </c>
      <c r="H10" s="28" t="e">
        <f>IF(G10=0,"",IF(#REF!=0,"",G10*10000/#REF!))</f>
        <v>#REF!</v>
      </c>
      <c r="I10" s="58"/>
    </row>
    <row r="11" s="3" customFormat="1" ht="15" customHeight="1" outlineLevel="1" spans="1:10">
      <c r="A11" s="26"/>
      <c r="B11" s="29" t="s">
        <v>2515</v>
      </c>
      <c r="C11" s="30"/>
      <c r="D11" s="31"/>
      <c r="E11" s="31"/>
      <c r="F11" s="32"/>
      <c r="G11" s="33" t="e">
        <f>SUM(G12:G18)</f>
        <v>#REF!</v>
      </c>
      <c r="H11" s="33" t="e">
        <f>IF(G11=0,"",IF(#REF!=0,"",G11*10000/#REF!))</f>
        <v>#REF!</v>
      </c>
      <c r="I11" s="61"/>
      <c r="J11" s="3" t="e">
        <f>G11/E12*10000</f>
        <v>#REF!</v>
      </c>
    </row>
    <row r="12" s="3" customFormat="1" ht="15" customHeight="1" outlineLevel="1" spans="1:9">
      <c r="A12" s="26"/>
      <c r="B12" s="34" t="s">
        <v>1536</v>
      </c>
      <c r="C12" s="35" t="s">
        <v>505</v>
      </c>
      <c r="D12" s="22">
        <v>0.55</v>
      </c>
      <c r="E12" s="23" t="e">
        <f>#REF!</f>
        <v>#REF!</v>
      </c>
      <c r="F12" s="36">
        <v>410</v>
      </c>
      <c r="G12" s="37" t="e">
        <f t="shared" ref="G12:G18" si="1">E12*F12*D12/10000</f>
        <v>#REF!</v>
      </c>
      <c r="H12" s="37"/>
      <c r="I12" s="61"/>
    </row>
    <row r="13" s="3" customFormat="1" ht="15" customHeight="1" outlineLevel="1" spans="1:9">
      <c r="A13" s="26"/>
      <c r="B13" s="34" t="s">
        <v>1543</v>
      </c>
      <c r="C13" s="35" t="s">
        <v>505</v>
      </c>
      <c r="D13" s="22">
        <v>65</v>
      </c>
      <c r="E13" s="23" t="e">
        <f>#REF!</f>
        <v>#REF!</v>
      </c>
      <c r="F13" s="36">
        <v>6.2</v>
      </c>
      <c r="G13" s="37" t="e">
        <f t="shared" si="1"/>
        <v>#REF!</v>
      </c>
      <c r="H13" s="37"/>
      <c r="I13" s="58"/>
    </row>
    <row r="14" s="3" customFormat="1" ht="15" customHeight="1" outlineLevel="1" spans="1:9">
      <c r="A14" s="26"/>
      <c r="B14" s="34" t="s">
        <v>1550</v>
      </c>
      <c r="C14" s="35" t="s">
        <v>505</v>
      </c>
      <c r="D14" s="22">
        <v>3</v>
      </c>
      <c r="E14" s="23" t="e">
        <f>#REF!</f>
        <v>#REF!</v>
      </c>
      <c r="F14" s="36">
        <v>50</v>
      </c>
      <c r="G14" s="37" t="e">
        <f t="shared" si="1"/>
        <v>#REF!</v>
      </c>
      <c r="H14" s="37"/>
      <c r="I14" s="61"/>
    </row>
    <row r="15" s="3" customFormat="1" ht="15" customHeight="1" outlineLevel="1" spans="1:9">
      <c r="A15" s="26"/>
      <c r="B15" s="34" t="s">
        <v>1564</v>
      </c>
      <c r="C15" s="35" t="s">
        <v>505</v>
      </c>
      <c r="D15" s="22">
        <v>3</v>
      </c>
      <c r="E15" s="23" t="e">
        <f>#REF!</f>
        <v>#REF!</v>
      </c>
      <c r="F15" s="36">
        <v>22</v>
      </c>
      <c r="G15" s="37" t="e">
        <f t="shared" si="1"/>
        <v>#REF!</v>
      </c>
      <c r="H15" s="37"/>
      <c r="I15" s="61"/>
    </row>
    <row r="16" s="3" customFormat="1" ht="15" customHeight="1" outlineLevel="1" spans="1:9">
      <c r="A16" s="26"/>
      <c r="B16" s="34" t="s">
        <v>1552</v>
      </c>
      <c r="C16" s="35" t="s">
        <v>505</v>
      </c>
      <c r="D16" s="22">
        <v>0.2</v>
      </c>
      <c r="E16" s="23" t="e">
        <f>#REF!</f>
        <v>#REF!</v>
      </c>
      <c r="F16" s="36">
        <v>500</v>
      </c>
      <c r="G16" s="37" t="e">
        <f t="shared" si="1"/>
        <v>#REF!</v>
      </c>
      <c r="H16" s="37"/>
      <c r="I16" s="61"/>
    </row>
    <row r="17" s="3" customFormat="1" ht="15" customHeight="1" outlineLevel="1" spans="1:9">
      <c r="A17" s="26"/>
      <c r="B17" s="34" t="s">
        <v>2266</v>
      </c>
      <c r="C17" s="35" t="s">
        <v>505</v>
      </c>
      <c r="D17" s="22">
        <v>2</v>
      </c>
      <c r="E17" s="23" t="e">
        <f>#REF!</f>
        <v>#REF!</v>
      </c>
      <c r="F17" s="36">
        <v>40</v>
      </c>
      <c r="G17" s="37" t="e">
        <f t="shared" si="1"/>
        <v>#REF!</v>
      </c>
      <c r="H17" s="37"/>
      <c r="I17" s="61"/>
    </row>
    <row r="18" s="3" customFormat="1" ht="15" customHeight="1" outlineLevel="1" spans="1:9">
      <c r="A18" s="26"/>
      <c r="B18" s="34" t="s">
        <v>2516</v>
      </c>
      <c r="C18" s="35" t="s">
        <v>505</v>
      </c>
      <c r="D18" s="22">
        <v>3</v>
      </c>
      <c r="E18" s="23" t="e">
        <f>#REF!</f>
        <v>#REF!</v>
      </c>
      <c r="F18" s="36">
        <v>18</v>
      </c>
      <c r="G18" s="37" t="e">
        <f t="shared" si="1"/>
        <v>#REF!</v>
      </c>
      <c r="H18" s="37"/>
      <c r="I18" s="61"/>
    </row>
    <row r="19" s="3" customFormat="1" ht="15" customHeight="1" outlineLevel="1" spans="1:9">
      <c r="A19" s="26"/>
      <c r="B19" s="29" t="s">
        <v>2517</v>
      </c>
      <c r="C19" s="30"/>
      <c r="D19" s="31"/>
      <c r="E19" s="31"/>
      <c r="F19" s="32"/>
      <c r="G19" s="33" t="e">
        <f>SUM(G20:G22)</f>
        <v>#REF!</v>
      </c>
      <c r="H19" s="33" t="e">
        <f>IF(G19=0,"",IF(#REF!=0,"",G19*10000/#REF!))</f>
        <v>#REF!</v>
      </c>
      <c r="I19" s="61"/>
    </row>
    <row r="20" s="2" customFormat="1" ht="15" customHeight="1" outlineLevel="1" spans="1:9">
      <c r="A20" s="26"/>
      <c r="B20" s="1827" t="s">
        <v>1536</v>
      </c>
      <c r="C20" s="22" t="s">
        <v>505</v>
      </c>
      <c r="D20" s="36">
        <v>0.6</v>
      </c>
      <c r="E20" s="23" t="e">
        <f>#REF!</f>
        <v>#REF!</v>
      </c>
      <c r="F20" s="36">
        <v>410</v>
      </c>
      <c r="G20" s="28" t="e">
        <f t="shared" ref="G20:G23" si="2">D20*E20*F20/10000</f>
        <v>#REF!</v>
      </c>
      <c r="H20" s="28"/>
      <c r="I20" s="58"/>
    </row>
    <row r="21" s="2" customFormat="1" ht="15" customHeight="1" outlineLevel="1" spans="1:9">
      <c r="A21" s="26"/>
      <c r="B21" s="1827" t="s">
        <v>1543</v>
      </c>
      <c r="C21" s="22" t="s">
        <v>505</v>
      </c>
      <c r="D21" s="36">
        <v>70</v>
      </c>
      <c r="E21" s="23" t="e">
        <f>#REF!</f>
        <v>#REF!</v>
      </c>
      <c r="F21" s="36">
        <f>F13</f>
        <v>6.2</v>
      </c>
      <c r="G21" s="28" t="e">
        <f t="shared" si="2"/>
        <v>#REF!</v>
      </c>
      <c r="H21" s="28"/>
      <c r="I21" s="58"/>
    </row>
    <row r="22" s="2" customFormat="1" ht="15" customHeight="1" outlineLevel="1" spans="1:9">
      <c r="A22" s="26"/>
      <c r="B22" s="1827" t="s">
        <v>1550</v>
      </c>
      <c r="C22" s="22" t="s">
        <v>505</v>
      </c>
      <c r="D22" s="36">
        <v>4</v>
      </c>
      <c r="E22" s="23" t="e">
        <f>#REF!</f>
        <v>#REF!</v>
      </c>
      <c r="F22" s="36">
        <f>F14</f>
        <v>50</v>
      </c>
      <c r="G22" s="28" t="e">
        <f t="shared" si="2"/>
        <v>#REF!</v>
      </c>
      <c r="H22" s="28"/>
      <c r="I22" s="58"/>
    </row>
    <row r="23" s="2" customFormat="1" ht="15" customHeight="1" outlineLevel="1" spans="1:9">
      <c r="A23" s="26" t="s">
        <v>622</v>
      </c>
      <c r="B23" s="1828" t="s">
        <v>1552</v>
      </c>
      <c r="C23" s="22" t="s">
        <v>505</v>
      </c>
      <c r="D23" s="36">
        <v>0.2</v>
      </c>
      <c r="E23" s="23" t="e">
        <f>#REF!</f>
        <v>#REF!</v>
      </c>
      <c r="F23" s="36">
        <f>F16</f>
        <v>500</v>
      </c>
      <c r="G23" s="28" t="e">
        <f t="shared" si="2"/>
        <v>#REF!</v>
      </c>
      <c r="H23" s="28" t="e">
        <f>IF(G23=0,"",IF(#REF!=0,"",G23*10000/#REF!))</f>
        <v>#REF!</v>
      </c>
      <c r="I23" s="58"/>
    </row>
    <row r="24" s="2" customFormat="1" ht="15" customHeight="1" outlineLevel="1" spans="1:9">
      <c r="A24" s="26" t="s">
        <v>622</v>
      </c>
      <c r="B24" s="1828" t="s">
        <v>1564</v>
      </c>
      <c r="C24" s="22"/>
      <c r="D24" s="36"/>
      <c r="E24" s="23"/>
      <c r="F24" s="36"/>
      <c r="G24" s="28" t="e">
        <f>SUM(G25:G29)</f>
        <v>#REF!</v>
      </c>
      <c r="H24" s="28" t="e">
        <f>IF(G24=0,"",IF(#REF!=0,"",G24*10000/#REF!))</f>
        <v>#REF!</v>
      </c>
      <c r="I24" s="58"/>
    </row>
    <row r="25" s="2" customFormat="1" ht="15" customHeight="1" outlineLevel="1" spans="1:9">
      <c r="A25" s="26"/>
      <c r="B25" s="34" t="s">
        <v>2260</v>
      </c>
      <c r="C25" s="22" t="s">
        <v>505</v>
      </c>
      <c r="D25" s="89">
        <v>0.9</v>
      </c>
      <c r="E25" s="23" t="e">
        <f>#REF!</f>
        <v>#REF!</v>
      </c>
      <c r="F25" s="90">
        <v>28</v>
      </c>
      <c r="G25" s="28" t="e">
        <f>E25*F25*D25/10000</f>
        <v>#REF!</v>
      </c>
      <c r="H25" s="28"/>
      <c r="I25" s="58"/>
    </row>
    <row r="26" s="2" customFormat="1" ht="15" customHeight="1" outlineLevel="1" spans="1:9">
      <c r="A26" s="26"/>
      <c r="B26" s="34" t="s">
        <v>2328</v>
      </c>
      <c r="C26" s="22" t="s">
        <v>505</v>
      </c>
      <c r="D26" s="89">
        <v>1.1</v>
      </c>
      <c r="E26" s="23" t="e">
        <f>#REF!</f>
        <v>#REF!</v>
      </c>
      <c r="F26" s="90">
        <v>32</v>
      </c>
      <c r="G26" s="28" t="e">
        <f>E26*F26*D26/10000</f>
        <v>#REF!</v>
      </c>
      <c r="H26" s="28"/>
      <c r="I26" s="58"/>
    </row>
    <row r="27" s="2" customFormat="1" ht="15" customHeight="1" outlineLevel="1" spans="1:9">
      <c r="A27" s="26"/>
      <c r="B27" s="34" t="s">
        <v>2263</v>
      </c>
      <c r="C27" s="22" t="s">
        <v>505</v>
      </c>
      <c r="D27" s="89">
        <v>1.9</v>
      </c>
      <c r="E27" s="23" t="e">
        <f>#REF!</f>
        <v>#REF!</v>
      </c>
      <c r="F27" s="90">
        <v>8</v>
      </c>
      <c r="G27" s="28" t="e">
        <f t="shared" ref="G27:G35" si="3">E27*F27*D27/10000</f>
        <v>#REF!</v>
      </c>
      <c r="H27" s="28"/>
      <c r="I27" s="58"/>
    </row>
    <row r="28" s="2" customFormat="1" ht="15" customHeight="1" outlineLevel="1" spans="1:9">
      <c r="A28" s="26"/>
      <c r="B28" s="34" t="s">
        <v>2329</v>
      </c>
      <c r="C28" s="22" t="s">
        <v>505</v>
      </c>
      <c r="D28" s="91"/>
      <c r="E28" s="23" t="e">
        <f>#REF!</f>
        <v>#REF!</v>
      </c>
      <c r="F28" s="90">
        <v>18</v>
      </c>
      <c r="G28" s="28" t="e">
        <f t="shared" si="3"/>
        <v>#REF!</v>
      </c>
      <c r="H28" s="28"/>
      <c r="I28" s="58"/>
    </row>
    <row r="29" s="2" customFormat="1" ht="15" customHeight="1" outlineLevel="1" spans="1:9">
      <c r="A29" s="26"/>
      <c r="B29" s="92" t="s">
        <v>2518</v>
      </c>
      <c r="C29" s="22" t="s">
        <v>505</v>
      </c>
      <c r="D29" s="91">
        <f>D50</f>
        <v>1.2</v>
      </c>
      <c r="E29" s="23" t="e">
        <f>#REF!</f>
        <v>#REF!</v>
      </c>
      <c r="F29" s="93">
        <v>40</v>
      </c>
      <c r="G29" s="28" t="e">
        <f t="shared" si="3"/>
        <v>#REF!</v>
      </c>
      <c r="H29" s="28"/>
      <c r="I29" s="58"/>
    </row>
    <row r="30" s="2" customFormat="1" ht="15" customHeight="1" outlineLevel="1" spans="1:9">
      <c r="A30" s="26" t="s">
        <v>622</v>
      </c>
      <c r="B30" s="1828" t="s">
        <v>2266</v>
      </c>
      <c r="C30" s="22"/>
      <c r="D30" s="36"/>
      <c r="E30" s="23"/>
      <c r="F30" s="36"/>
      <c r="G30" s="28" t="e">
        <f>SUM(G31:G35)</f>
        <v>#REF!</v>
      </c>
      <c r="H30" s="28" t="e">
        <f>IF(G30=0,"",IF(#REF!=0,"",G30*10000/#REF!))</f>
        <v>#REF!</v>
      </c>
      <c r="I30" s="58"/>
    </row>
    <row r="31" s="2" customFormat="1" ht="15" customHeight="1" outlineLevel="1" spans="1:9">
      <c r="A31" s="26"/>
      <c r="B31" s="34" t="s">
        <v>2271</v>
      </c>
      <c r="C31" s="80" t="s">
        <v>598</v>
      </c>
      <c r="D31" s="91">
        <v>1.3</v>
      </c>
      <c r="E31" s="23" t="e">
        <f>#REF!</f>
        <v>#REF!</v>
      </c>
      <c r="F31" s="93">
        <f>20+68+20*0.5</f>
        <v>98</v>
      </c>
      <c r="G31" s="28" t="e">
        <f t="shared" si="3"/>
        <v>#REF!</v>
      </c>
      <c r="H31" s="28"/>
      <c r="I31" s="58"/>
    </row>
    <row r="32" s="2" customFormat="1" ht="15" customHeight="1" outlineLevel="1" spans="1:9">
      <c r="A32" s="26"/>
      <c r="B32" s="34" t="s">
        <v>2331</v>
      </c>
      <c r="C32" s="80" t="s">
        <v>598</v>
      </c>
      <c r="D32" s="91">
        <v>1.3</v>
      </c>
      <c r="E32" s="23" t="e">
        <f>#REF!</f>
        <v>#REF!</v>
      </c>
      <c r="F32" s="93">
        <f>10+26+11</f>
        <v>47</v>
      </c>
      <c r="G32" s="28" t="e">
        <f t="shared" si="3"/>
        <v>#REF!</v>
      </c>
      <c r="H32" s="28"/>
      <c r="I32" s="58"/>
    </row>
    <row r="33" s="2" customFormat="1" ht="15" customHeight="1" outlineLevel="1" spans="1:9">
      <c r="A33" s="26"/>
      <c r="B33" s="34" t="s">
        <v>2332</v>
      </c>
      <c r="C33" s="22" t="s">
        <v>505</v>
      </c>
      <c r="D33" s="91">
        <v>0.15</v>
      </c>
      <c r="E33" s="23" t="e">
        <f>#REF!</f>
        <v>#REF!</v>
      </c>
      <c r="F33" s="93">
        <f>10+26+11</f>
        <v>47</v>
      </c>
      <c r="G33" s="28" t="e">
        <f t="shared" si="3"/>
        <v>#REF!</v>
      </c>
      <c r="H33" s="28"/>
      <c r="I33" s="58"/>
    </row>
    <row r="34" s="2" customFormat="1" ht="15" customHeight="1" outlineLevel="1" spans="1:9">
      <c r="A34" s="26"/>
      <c r="B34" s="34" t="s">
        <v>2269</v>
      </c>
      <c r="C34" s="22" t="s">
        <v>505</v>
      </c>
      <c r="D34" s="91">
        <v>0.15</v>
      </c>
      <c r="E34" s="23" t="e">
        <f>#REF!</f>
        <v>#REF!</v>
      </c>
      <c r="F34" s="93">
        <f>10+22+11</f>
        <v>43</v>
      </c>
      <c r="G34" s="28" t="e">
        <f t="shared" si="3"/>
        <v>#REF!</v>
      </c>
      <c r="H34" s="28"/>
      <c r="I34" s="58"/>
    </row>
    <row r="35" s="2" customFormat="1" ht="15" customHeight="1" outlineLevel="1" spans="1:9">
      <c r="A35" s="26"/>
      <c r="B35" s="34" t="s">
        <v>2333</v>
      </c>
      <c r="C35" s="22" t="s">
        <v>505</v>
      </c>
      <c r="D35" s="89">
        <v>0.05</v>
      </c>
      <c r="E35" s="23" t="e">
        <f>#REF!</f>
        <v>#REF!</v>
      </c>
      <c r="F35" s="93">
        <f>F33</f>
        <v>47</v>
      </c>
      <c r="G35" s="28" t="e">
        <f t="shared" si="3"/>
        <v>#REF!</v>
      </c>
      <c r="H35" s="28"/>
      <c r="I35" s="58"/>
    </row>
    <row r="36" s="2" customFormat="1" ht="15" customHeight="1" outlineLevel="1" spans="1:9">
      <c r="A36" s="26" t="s">
        <v>622</v>
      </c>
      <c r="B36" s="27" t="s">
        <v>1275</v>
      </c>
      <c r="C36" s="22"/>
      <c r="D36" s="36"/>
      <c r="E36" s="23"/>
      <c r="F36" s="36"/>
      <c r="G36" s="28" t="e">
        <f>SUM(G37:G40)</f>
        <v>#REF!</v>
      </c>
      <c r="H36" s="28" t="e">
        <f>IF(G36=0,"",IF(#REF!=0,"",G36*10000/#REF!))</f>
        <v>#REF!</v>
      </c>
      <c r="I36" s="58"/>
    </row>
    <row r="37" s="2" customFormat="1" ht="15" customHeight="1" outlineLevel="1" spans="1:9">
      <c r="A37" s="26"/>
      <c r="B37" s="1829" t="s">
        <v>2274</v>
      </c>
      <c r="C37" s="22" t="s">
        <v>505</v>
      </c>
      <c r="D37" s="36">
        <v>1</v>
      </c>
      <c r="E37" s="23" t="e">
        <f>#REF!</f>
        <v>#REF!</v>
      </c>
      <c r="F37" s="36">
        <v>180</v>
      </c>
      <c r="G37" s="28" t="e">
        <f t="shared" ref="G37:G40" si="4">D37*E37*F37/10000</f>
        <v>#REF!</v>
      </c>
      <c r="H37" s="28" t="e">
        <f>IF(G37=0,"",IF(#REF!=0,"",G37*10000/#REF!))</f>
        <v>#REF!</v>
      </c>
      <c r="I37" s="58"/>
    </row>
    <row r="38" s="2" customFormat="1" ht="15" customHeight="1" outlineLevel="1" spans="1:9">
      <c r="A38" s="26"/>
      <c r="B38" s="94" t="s">
        <v>2519</v>
      </c>
      <c r="C38" s="95" t="s">
        <v>2520</v>
      </c>
      <c r="D38" s="36">
        <v>60</v>
      </c>
      <c r="E38" s="23" t="e">
        <f>#REF!</f>
        <v>#REF!</v>
      </c>
      <c r="F38" s="36">
        <v>240</v>
      </c>
      <c r="G38" s="28" t="e">
        <f t="shared" si="4"/>
        <v>#REF!</v>
      </c>
      <c r="H38" s="28" t="e">
        <f>IF(G38=0,"",IF(#REF!=0,"",G38*10000/#REF!))</f>
        <v>#REF!</v>
      </c>
      <c r="I38" s="98" t="s">
        <v>2521</v>
      </c>
    </row>
    <row r="39" s="2" customFormat="1" ht="15" customHeight="1" outlineLevel="1" spans="1:9">
      <c r="A39" s="26"/>
      <c r="B39" s="1829" t="s">
        <v>2275</v>
      </c>
      <c r="C39" s="22" t="s">
        <v>505</v>
      </c>
      <c r="D39" s="96">
        <v>0.03</v>
      </c>
      <c r="E39" s="23" t="e">
        <f>#REF!</f>
        <v>#REF!</v>
      </c>
      <c r="F39" s="36" t="e">
        <f>SUM(H10,H23,H24,H37,H38,H30)</f>
        <v>#REF!</v>
      </c>
      <c r="G39" s="28" t="e">
        <f t="shared" si="4"/>
        <v>#REF!</v>
      </c>
      <c r="H39" s="28"/>
      <c r="I39" s="61"/>
    </row>
    <row r="40" s="2" customFormat="1" ht="15" customHeight="1" outlineLevel="1" spans="1:9">
      <c r="A40" s="26"/>
      <c r="B40" s="43" t="s">
        <v>2334</v>
      </c>
      <c r="C40" s="22" t="s">
        <v>601</v>
      </c>
      <c r="D40" s="36">
        <v>14</v>
      </c>
      <c r="E40" s="23" t="e">
        <f>#REF!</f>
        <v>#REF!</v>
      </c>
      <c r="F40" s="36">
        <v>63</v>
      </c>
      <c r="G40" s="28" t="e">
        <f t="shared" si="4"/>
        <v>#REF!</v>
      </c>
      <c r="H40" s="28"/>
      <c r="I40" s="58"/>
    </row>
    <row r="41" s="2" customFormat="1" ht="15" customHeight="1" spans="1:9">
      <c r="A41" s="1825" t="s">
        <v>2336</v>
      </c>
      <c r="B41" s="15" t="s">
        <v>1803</v>
      </c>
      <c r="C41" s="16"/>
      <c r="D41" s="88"/>
      <c r="E41" s="17"/>
      <c r="F41" s="88"/>
      <c r="G41" s="18" t="e">
        <f>SUM(G42:G45)</f>
        <v>#REF!</v>
      </c>
      <c r="H41" s="18" t="e">
        <f>IF(G41=0,"",IF(#REF!=0,"",G41*10000/#REF!))</f>
        <v>#REF!</v>
      </c>
      <c r="I41" s="58"/>
    </row>
    <row r="42" s="2" customFormat="1" ht="15" customHeight="1" outlineLevel="1" spans="1:9">
      <c r="A42" s="19" t="s">
        <v>622</v>
      </c>
      <c r="B42" s="20" t="s">
        <v>1808</v>
      </c>
      <c r="C42" s="22" t="s">
        <v>1806</v>
      </c>
      <c r="D42" s="36">
        <v>2</v>
      </c>
      <c r="E42" s="23" t="e">
        <f>#REF!</f>
        <v>#REF!</v>
      </c>
      <c r="F42" s="36">
        <v>8000</v>
      </c>
      <c r="G42" s="28" t="e">
        <f t="shared" ref="G42:G45" si="5">D42*E42*F42/10000</f>
        <v>#REF!</v>
      </c>
      <c r="H42" s="28" t="e">
        <f>IF(G42=0,"",IF(#REF!=0,"",G42*10000/#REF!))</f>
        <v>#REF!</v>
      </c>
      <c r="I42" s="62" t="s">
        <v>2522</v>
      </c>
    </row>
    <row r="43" s="2" customFormat="1" ht="15" customHeight="1" outlineLevel="1" spans="1:9">
      <c r="A43" s="19" t="s">
        <v>622</v>
      </c>
      <c r="B43" s="20" t="s">
        <v>2338</v>
      </c>
      <c r="C43" s="22" t="s">
        <v>505</v>
      </c>
      <c r="D43" s="36">
        <v>1</v>
      </c>
      <c r="E43" s="23"/>
      <c r="F43" s="36"/>
      <c r="G43" s="28">
        <f t="shared" si="5"/>
        <v>0</v>
      </c>
      <c r="H43" s="28" t="str">
        <f>IF(G43=0,"",IF(#REF!=0,"",G43*10000/#REF!))</f>
        <v/>
      </c>
      <c r="I43" s="58"/>
    </row>
    <row r="44" s="2" customFormat="1" ht="15" customHeight="1" outlineLevel="1" spans="1:9">
      <c r="A44" s="19" t="s">
        <v>622</v>
      </c>
      <c r="B44" s="20" t="s">
        <v>2523</v>
      </c>
      <c r="C44" s="22" t="s">
        <v>505</v>
      </c>
      <c r="D44" s="36">
        <v>1</v>
      </c>
      <c r="E44" s="23" t="e">
        <f>#REF!</f>
        <v>#REF!</v>
      </c>
      <c r="F44" s="36">
        <v>20000</v>
      </c>
      <c r="G44" s="28" t="e">
        <f t="shared" si="5"/>
        <v>#REF!</v>
      </c>
      <c r="H44" s="28" t="e">
        <f>IF(G44=0,"",IF(#REF!=0,"",G44*10000/#REF!))</f>
        <v>#REF!</v>
      </c>
      <c r="I44" s="58"/>
    </row>
    <row r="45" s="2" customFormat="1" ht="18" customHeight="1" outlineLevel="1" spans="1:9">
      <c r="A45" s="19" t="s">
        <v>622</v>
      </c>
      <c r="B45" s="20" t="s">
        <v>1813</v>
      </c>
      <c r="C45" s="22" t="s">
        <v>505</v>
      </c>
      <c r="D45" s="36">
        <v>0.4</v>
      </c>
      <c r="E45" s="23" t="e">
        <f>#REF!</f>
        <v>#REF!</v>
      </c>
      <c r="F45" s="36">
        <v>1200</v>
      </c>
      <c r="G45" s="28" t="e">
        <f t="shared" si="5"/>
        <v>#REF!</v>
      </c>
      <c r="H45" s="28" t="e">
        <f>IF(G45=0,"",IF(#REF!=0,"",G45*10000/#REF!))</f>
        <v>#REF!</v>
      </c>
      <c r="I45" s="61"/>
    </row>
    <row r="46" s="2" customFormat="1" ht="15" customHeight="1" spans="1:9">
      <c r="A46" s="1825" t="s">
        <v>2340</v>
      </c>
      <c r="B46" s="15" t="s">
        <v>2308</v>
      </c>
      <c r="C46" s="16"/>
      <c r="D46" s="88"/>
      <c r="E46" s="17"/>
      <c r="F46" s="88"/>
      <c r="G46" s="18" t="e">
        <f>SUM(G47:G55)</f>
        <v>#REF!</v>
      </c>
      <c r="H46" s="18" t="e">
        <f>IF(G46=0,"",IF(#REF!=0,"",G46*10000/#REF!))</f>
        <v>#REF!</v>
      </c>
      <c r="I46" s="58"/>
    </row>
    <row r="47" s="2" customFormat="1" ht="15" customHeight="1" outlineLevel="1" spans="1:9">
      <c r="A47" s="19" t="s">
        <v>622</v>
      </c>
      <c r="B47" s="45" t="s">
        <v>2524</v>
      </c>
      <c r="C47" s="21" t="s">
        <v>602</v>
      </c>
      <c r="D47" s="36">
        <v>1</v>
      </c>
      <c r="E47" s="23" t="e">
        <f>#REF!</f>
        <v>#REF!</v>
      </c>
      <c r="F47" s="36">
        <v>20000</v>
      </c>
      <c r="G47" s="28" t="e">
        <f>E47*F47*D47/10000</f>
        <v>#REF!</v>
      </c>
      <c r="H47" s="28" t="e">
        <f>IF(G47=0,"",IF(#REF!=0,"",G47*10000/#REF!))</f>
        <v>#REF!</v>
      </c>
      <c r="I47" s="58"/>
    </row>
    <row r="48" s="2" customFormat="1" ht="15" customHeight="1" outlineLevel="1" spans="1:9">
      <c r="A48" s="19" t="s">
        <v>622</v>
      </c>
      <c r="B48" s="45" t="s">
        <v>2312</v>
      </c>
      <c r="C48" s="21" t="s">
        <v>505</v>
      </c>
      <c r="D48" s="97"/>
      <c r="E48" s="23">
        <v>20</v>
      </c>
      <c r="F48" s="36"/>
      <c r="G48" s="28">
        <f t="shared" ref="G48:G55" si="6">E48*F48*D48/10000</f>
        <v>0</v>
      </c>
      <c r="H48" s="28" t="str">
        <f>IF(G48=0,"",IF(#REF!=0,"",G48*10000/#REF!))</f>
        <v/>
      </c>
      <c r="I48" s="58"/>
    </row>
    <row r="49" s="2" customFormat="1" ht="15" customHeight="1" outlineLevel="1" spans="1:9">
      <c r="A49" s="19" t="s">
        <v>622</v>
      </c>
      <c r="B49" s="45" t="s">
        <v>2343</v>
      </c>
      <c r="C49" s="21" t="s">
        <v>505</v>
      </c>
      <c r="D49" s="36">
        <v>0.3</v>
      </c>
      <c r="E49" s="23" t="e">
        <f>#REF!</f>
        <v>#REF!</v>
      </c>
      <c r="F49" s="36">
        <v>120</v>
      </c>
      <c r="G49" s="28" t="e">
        <f t="shared" si="6"/>
        <v>#REF!</v>
      </c>
      <c r="H49" s="28" t="e">
        <f>IF(G49=0,"",IF(#REF!=0,"",G49*10000/#REF!))</f>
        <v>#REF!</v>
      </c>
      <c r="I49" s="58"/>
    </row>
    <row r="50" s="2" customFormat="1" ht="15" customHeight="1" outlineLevel="1" spans="1:9">
      <c r="A50" s="19" t="s">
        <v>622</v>
      </c>
      <c r="B50" s="45" t="s">
        <v>2525</v>
      </c>
      <c r="C50" s="21" t="s">
        <v>505</v>
      </c>
      <c r="D50" s="36">
        <v>1.2</v>
      </c>
      <c r="E50" s="23" t="e">
        <f>#REF!</f>
        <v>#REF!</v>
      </c>
      <c r="F50" s="36">
        <v>150</v>
      </c>
      <c r="G50" s="28" t="e">
        <f t="shared" si="6"/>
        <v>#REF!</v>
      </c>
      <c r="H50" s="28" t="e">
        <f>IF(G50=0,"",IF(#REF!=0,"",G50*10000/#REF!))</f>
        <v>#REF!</v>
      </c>
      <c r="I50" s="58"/>
    </row>
    <row r="51" s="2" customFormat="1" ht="15" customHeight="1" outlineLevel="1" spans="1:9">
      <c r="A51" s="19" t="s">
        <v>622</v>
      </c>
      <c r="B51" s="45" t="s">
        <v>2526</v>
      </c>
      <c r="C51" s="21" t="s">
        <v>505</v>
      </c>
      <c r="D51" s="36">
        <v>0.8</v>
      </c>
      <c r="E51" s="23" t="e">
        <f>#REF!</f>
        <v>#REF!</v>
      </c>
      <c r="F51" s="36" t="e">
        <f>#REF!</f>
        <v>#REF!</v>
      </c>
      <c r="G51" s="28" t="e">
        <f t="shared" si="6"/>
        <v>#REF!</v>
      </c>
      <c r="H51" s="28" t="e">
        <f>IF(G51=0,"",IF(#REF!=0,"",G51*10000/#REF!))</f>
        <v>#REF!</v>
      </c>
      <c r="I51" s="58"/>
    </row>
    <row r="52" s="2" customFormat="1" ht="15" customHeight="1" outlineLevel="1" spans="1:9">
      <c r="A52" s="19" t="s">
        <v>622</v>
      </c>
      <c r="B52" s="45" t="s">
        <v>2311</v>
      </c>
      <c r="C52" s="21" t="s">
        <v>602</v>
      </c>
      <c r="D52" s="36"/>
      <c r="E52" s="23" t="e">
        <f>#REF!</f>
        <v>#REF!</v>
      </c>
      <c r="F52" s="36">
        <v>60</v>
      </c>
      <c r="G52" s="28" t="e">
        <f t="shared" si="6"/>
        <v>#REF!</v>
      </c>
      <c r="H52" s="28" t="e">
        <f>IF(G52=0,"",IF(#REF!=0,"",G52*10000/#REF!))</f>
        <v>#REF!</v>
      </c>
      <c r="I52" s="58"/>
    </row>
    <row r="53" s="2" customFormat="1" ht="15" customHeight="1" outlineLevel="1" spans="1:9">
      <c r="A53" s="19" t="s">
        <v>622</v>
      </c>
      <c r="B53" s="45" t="s">
        <v>2345</v>
      </c>
      <c r="C53" s="22" t="s">
        <v>862</v>
      </c>
      <c r="D53" s="36">
        <v>1.5</v>
      </c>
      <c r="E53" s="23" t="e">
        <f>#REF!</f>
        <v>#REF!</v>
      </c>
      <c r="F53" s="36">
        <v>40</v>
      </c>
      <c r="G53" s="28" t="e">
        <f t="shared" si="6"/>
        <v>#REF!</v>
      </c>
      <c r="H53" s="28" t="e">
        <f>IF(G53=0,"",IF(#REF!=0,"",G53*10000/#REF!))</f>
        <v>#REF!</v>
      </c>
      <c r="I53" s="58"/>
    </row>
    <row r="54" s="2" customFormat="1" ht="15" customHeight="1" outlineLevel="1" spans="1:9">
      <c r="A54" s="19" t="s">
        <v>622</v>
      </c>
      <c r="B54" s="45" t="s">
        <v>2306</v>
      </c>
      <c r="C54" s="21" t="s">
        <v>505</v>
      </c>
      <c r="D54" s="36">
        <v>1</v>
      </c>
      <c r="E54" s="23" t="e">
        <f>#REF!</f>
        <v>#REF!</v>
      </c>
      <c r="F54" s="37">
        <v>70</v>
      </c>
      <c r="G54" s="28" t="e">
        <f t="shared" si="6"/>
        <v>#REF!</v>
      </c>
      <c r="H54" s="28" t="e">
        <f>IF(G54=0,"",IF(#REF!=0,"",G54*10000/#REF!))</f>
        <v>#REF!</v>
      </c>
      <c r="I54" s="58"/>
    </row>
    <row r="55" s="2" customFormat="1" ht="15" customHeight="1" outlineLevel="1" spans="1:9">
      <c r="A55" s="19" t="s">
        <v>622</v>
      </c>
      <c r="B55" s="45" t="s">
        <v>2346</v>
      </c>
      <c r="C55" s="21" t="s">
        <v>505</v>
      </c>
      <c r="D55" s="36">
        <v>1.3</v>
      </c>
      <c r="E55" s="23" t="e">
        <f>#REF!</f>
        <v>#REF!</v>
      </c>
      <c r="F55" s="36" t="e">
        <f>#REF!</f>
        <v>#REF!</v>
      </c>
      <c r="G55" s="28" t="e">
        <f t="shared" si="6"/>
        <v>#REF!</v>
      </c>
      <c r="H55" s="28" t="e">
        <f>IF(G55=0,"",IF(#REF!=0,"",G55*10000/#REF!))</f>
        <v>#REF!</v>
      </c>
      <c r="I55" s="58"/>
    </row>
    <row r="56" s="2" customFormat="1" ht="15" customHeight="1" spans="1:9">
      <c r="A56" s="1825" t="s">
        <v>2347</v>
      </c>
      <c r="B56" s="15" t="s">
        <v>1705</v>
      </c>
      <c r="C56" s="16"/>
      <c r="D56" s="88">
        <v>1</v>
      </c>
      <c r="E56" s="23"/>
      <c r="F56" s="88"/>
      <c r="G56" s="18">
        <f>D56*E56*F56/10000</f>
        <v>0</v>
      </c>
      <c r="H56" s="18" t="str">
        <f>IF(G56=0,"",IF(#REF!=0,"",G56*10000/#REF!))</f>
        <v/>
      </c>
      <c r="I56" s="58"/>
    </row>
    <row r="57" s="2" customFormat="1" ht="15" customHeight="1" spans="1:9">
      <c r="A57" s="10" t="s">
        <v>2348</v>
      </c>
      <c r="B57" s="11" t="s">
        <v>2349</v>
      </c>
      <c r="C57" s="12"/>
      <c r="D57" s="87"/>
      <c r="E57" s="48"/>
      <c r="F57" s="87"/>
      <c r="G57" s="13" t="e">
        <f>G58+G74+G78</f>
        <v>#REF!</v>
      </c>
      <c r="H57" s="13" t="e">
        <f>IF(G57=0,"",IF(#REF!=0,"",G57*10000/#REF!))</f>
        <v>#REF!</v>
      </c>
      <c r="I57" s="63"/>
    </row>
    <row r="58" s="2" customFormat="1" ht="15" customHeight="1" spans="1:9">
      <c r="A58" s="1825" t="s">
        <v>2247</v>
      </c>
      <c r="B58" s="15" t="s">
        <v>2279</v>
      </c>
      <c r="C58" s="16"/>
      <c r="D58" s="88"/>
      <c r="E58" s="17"/>
      <c r="F58" s="88"/>
      <c r="G58" s="18" t="e">
        <f>G59+G66+G64+G65</f>
        <v>#REF!</v>
      </c>
      <c r="H58" s="18" t="e">
        <f>IF(G58=0,"",IF(#REF!=0,"",G58*10000/#REF!))</f>
        <v>#REF!</v>
      </c>
      <c r="I58" s="58"/>
    </row>
    <row r="59" s="2" customFormat="1" ht="15" customHeight="1" outlineLevel="1" spans="1:9">
      <c r="A59" s="19" t="s">
        <v>622</v>
      </c>
      <c r="B59" s="20" t="s">
        <v>2280</v>
      </c>
      <c r="C59" s="22" t="s">
        <v>505</v>
      </c>
      <c r="D59" s="49"/>
      <c r="E59" s="23"/>
      <c r="F59" s="36"/>
      <c r="G59" s="28" t="e">
        <f>SUM(G60:G63)</f>
        <v>#REF!</v>
      </c>
      <c r="H59" s="28" t="e">
        <f>IF(G59=0,"",IF(#REF!=0,"",G59*10000/#REF!))</f>
        <v>#REF!</v>
      </c>
      <c r="I59" s="58"/>
    </row>
    <row r="60" s="2" customFormat="1" ht="15" customHeight="1" outlineLevel="1" spans="1:9">
      <c r="A60" s="19"/>
      <c r="B60" s="50" t="s">
        <v>2350</v>
      </c>
      <c r="C60" s="21" t="s">
        <v>505</v>
      </c>
      <c r="D60" s="21">
        <v>1</v>
      </c>
      <c r="E60" s="23" t="e">
        <f>#REF!+#REF!</f>
        <v>#REF!</v>
      </c>
      <c r="F60" s="36">
        <v>40</v>
      </c>
      <c r="G60" s="28" t="e">
        <f t="shared" ref="G60:G73" si="7">D60*E60*F60/10000</f>
        <v>#REF!</v>
      </c>
      <c r="H60" s="28" t="e">
        <f>IF(G60=0,"",IF(#REF!=0,"",G60*10000/#REF!))</f>
        <v>#REF!</v>
      </c>
      <c r="I60" s="58"/>
    </row>
    <row r="61" s="2" customFormat="1" ht="15" customHeight="1" outlineLevel="1" spans="1:9">
      <c r="A61" s="19"/>
      <c r="B61" s="50" t="s">
        <v>2351</v>
      </c>
      <c r="C61" s="21" t="s">
        <v>505</v>
      </c>
      <c r="D61" s="21">
        <v>1</v>
      </c>
      <c r="E61" s="23" t="e">
        <f>#REF!+#REF!</f>
        <v>#REF!</v>
      </c>
      <c r="F61" s="36">
        <v>6</v>
      </c>
      <c r="G61" s="28" t="e">
        <f t="shared" si="7"/>
        <v>#REF!</v>
      </c>
      <c r="H61" s="28" t="e">
        <f>IF(G61=0,"",IF(#REF!=0,"",G61*10000/#REF!))</f>
        <v>#REF!</v>
      </c>
      <c r="I61" s="58"/>
    </row>
    <row r="62" s="2" customFormat="1" ht="15" customHeight="1" outlineLevel="1" spans="1:9">
      <c r="A62" s="19"/>
      <c r="B62" s="50" t="s">
        <v>2352</v>
      </c>
      <c r="C62" s="21" t="s">
        <v>505</v>
      </c>
      <c r="D62" s="21">
        <v>1</v>
      </c>
      <c r="E62" s="23" t="e">
        <f>#REF!+#REF!</f>
        <v>#REF!</v>
      </c>
      <c r="F62" s="36">
        <v>15</v>
      </c>
      <c r="G62" s="28" t="e">
        <f t="shared" si="7"/>
        <v>#REF!</v>
      </c>
      <c r="H62" s="28" t="e">
        <f>IF(G62=0,"",IF(#REF!=0,"",G62*10000/#REF!))</f>
        <v>#REF!</v>
      </c>
      <c r="I62" s="58"/>
    </row>
    <row r="63" s="2" customFormat="1" ht="15" customHeight="1" outlineLevel="1" spans="1:9">
      <c r="A63" s="19"/>
      <c r="B63" s="45" t="s">
        <v>2353</v>
      </c>
      <c r="C63" s="21" t="s">
        <v>505</v>
      </c>
      <c r="D63" s="21">
        <v>1</v>
      </c>
      <c r="E63" s="23" t="e">
        <f>#REF!+#REF!</f>
        <v>#REF!</v>
      </c>
      <c r="F63" s="36"/>
      <c r="G63" s="28" t="e">
        <f t="shared" si="7"/>
        <v>#REF!</v>
      </c>
      <c r="H63" s="28" t="e">
        <f>IF(G63=0,"",IF(#REF!=0,"",G63*10000/#REF!))</f>
        <v>#REF!</v>
      </c>
      <c r="I63" s="58"/>
    </row>
    <row r="64" s="2" customFormat="1" ht="16.5" customHeight="1" outlineLevel="1" spans="1:9">
      <c r="A64" s="19" t="s">
        <v>622</v>
      </c>
      <c r="B64" s="20" t="s">
        <v>2284</v>
      </c>
      <c r="C64" s="21" t="s">
        <v>505</v>
      </c>
      <c r="D64" s="21">
        <v>1</v>
      </c>
      <c r="E64" s="23"/>
      <c r="F64" s="36"/>
      <c r="G64" s="28">
        <f t="shared" si="7"/>
        <v>0</v>
      </c>
      <c r="H64" s="28" t="str">
        <f>IF(G64=0,"",IF(#REF!=0,"",G64*10000/#REF!))</f>
        <v/>
      </c>
      <c r="I64" s="58"/>
    </row>
    <row r="65" s="2" customFormat="1" ht="15" customHeight="1" outlineLevel="1" spans="1:9">
      <c r="A65" s="19" t="s">
        <v>622</v>
      </c>
      <c r="B65" s="20" t="s">
        <v>2355</v>
      </c>
      <c r="C65" s="21" t="s">
        <v>601</v>
      </c>
      <c r="D65" s="21">
        <v>1</v>
      </c>
      <c r="E65" s="23"/>
      <c r="F65" s="36"/>
      <c r="G65" s="28">
        <f t="shared" si="7"/>
        <v>0</v>
      </c>
      <c r="H65" s="28" t="str">
        <f>IF(G65=0,"",IF(#REF!=0,"",G65*10000/#REF!))</f>
        <v/>
      </c>
      <c r="I65" s="58"/>
    </row>
    <row r="66" s="2" customFormat="1" ht="15" customHeight="1" outlineLevel="1" spans="1:9">
      <c r="A66" s="19" t="s">
        <v>622</v>
      </c>
      <c r="B66" s="20" t="s">
        <v>2285</v>
      </c>
      <c r="C66" s="22" t="s">
        <v>505</v>
      </c>
      <c r="D66" s="49"/>
      <c r="E66" s="23"/>
      <c r="F66" s="36"/>
      <c r="G66" s="28" t="e">
        <f>SUM(G67:G73)</f>
        <v>#REF!</v>
      </c>
      <c r="H66" s="28" t="e">
        <f>IF(G66=0,"",IF(#REF!=0,"",G66*10000/#REF!))</f>
        <v>#REF!</v>
      </c>
      <c r="I66" s="74"/>
    </row>
    <row r="67" s="2" customFormat="1" ht="15" customHeight="1" outlineLevel="1" spans="1:9">
      <c r="A67" s="19"/>
      <c r="B67" s="45" t="s">
        <v>2356</v>
      </c>
      <c r="C67" s="21" t="s">
        <v>505</v>
      </c>
      <c r="D67" s="21">
        <v>1</v>
      </c>
      <c r="E67" s="23" t="e">
        <f>#REF!+#REF!</f>
        <v>#REF!</v>
      </c>
      <c r="F67" s="36">
        <v>45</v>
      </c>
      <c r="G67" s="28" t="e">
        <f t="shared" si="7"/>
        <v>#REF!</v>
      </c>
      <c r="H67" s="28" t="e">
        <f>IF(G67=0,"",IF(#REF!=0,"",G67*10000/#REF!))</f>
        <v>#REF!</v>
      </c>
      <c r="I67" s="58"/>
    </row>
    <row r="68" s="2" customFormat="1" ht="15" customHeight="1" outlineLevel="1" spans="1:9">
      <c r="A68" s="19"/>
      <c r="B68" s="45" t="s">
        <v>2357</v>
      </c>
      <c r="C68" s="21" t="s">
        <v>505</v>
      </c>
      <c r="D68" s="21">
        <v>1</v>
      </c>
      <c r="E68" s="23" t="e">
        <f>#REF!+#REF!</f>
        <v>#REF!</v>
      </c>
      <c r="F68" s="36">
        <v>10</v>
      </c>
      <c r="G68" s="28" t="e">
        <f t="shared" si="7"/>
        <v>#REF!</v>
      </c>
      <c r="H68" s="28" t="e">
        <f>IF(G68=0,"",IF(#REF!=0,"",G68*10000/#REF!))</f>
        <v>#REF!</v>
      </c>
      <c r="I68" s="58"/>
    </row>
    <row r="69" s="2" customFormat="1" ht="15" customHeight="1" outlineLevel="1" spans="1:9">
      <c r="A69" s="19"/>
      <c r="B69" s="45" t="s">
        <v>2288</v>
      </c>
      <c r="C69" s="21" t="s">
        <v>505</v>
      </c>
      <c r="D69" s="21">
        <v>1</v>
      </c>
      <c r="E69" s="23" t="e">
        <f>#REF!+#REF!</f>
        <v>#REF!</v>
      </c>
      <c r="F69" s="36">
        <v>15</v>
      </c>
      <c r="G69" s="28" t="e">
        <f t="shared" si="7"/>
        <v>#REF!</v>
      </c>
      <c r="H69" s="28" t="e">
        <f>IF(G69=0,"",IF(#REF!=0,"",G69*10000/#REF!))</f>
        <v>#REF!</v>
      </c>
      <c r="I69" s="58"/>
    </row>
    <row r="70" s="2" customFormat="1" ht="15" customHeight="1" outlineLevel="1" spans="1:9">
      <c r="A70" s="19"/>
      <c r="B70" s="64" t="s">
        <v>2289</v>
      </c>
      <c r="C70" s="65" t="s">
        <v>505</v>
      </c>
      <c r="D70" s="65">
        <v>1</v>
      </c>
      <c r="E70" s="23" t="e">
        <f>#REF!+#REF!</f>
        <v>#REF!</v>
      </c>
      <c r="F70" s="36">
        <v>0</v>
      </c>
      <c r="G70" s="28" t="e">
        <f t="shared" si="7"/>
        <v>#REF!</v>
      </c>
      <c r="H70" s="28" t="e">
        <f>IF(G70=0,"",IF(#REF!=0,"",G70*10000/#REF!))</f>
        <v>#REF!</v>
      </c>
      <c r="I70" s="58"/>
    </row>
    <row r="71" s="2" customFormat="1" ht="15" customHeight="1" outlineLevel="1" spans="1:9">
      <c r="A71" s="19"/>
      <c r="B71" s="64" t="s">
        <v>2290</v>
      </c>
      <c r="C71" s="65" t="s">
        <v>505</v>
      </c>
      <c r="D71" s="65">
        <v>1</v>
      </c>
      <c r="E71" s="23" t="e">
        <f>#REF!+#REF!</f>
        <v>#REF!</v>
      </c>
      <c r="F71" s="36">
        <v>7</v>
      </c>
      <c r="G71" s="28" t="e">
        <f t="shared" si="7"/>
        <v>#REF!</v>
      </c>
      <c r="H71" s="28" t="e">
        <f>IF(G71=0,"",IF(#REF!=0,"",G71*10000/#REF!))</f>
        <v>#REF!</v>
      </c>
      <c r="I71" s="58"/>
    </row>
    <row r="72" s="2" customFormat="1" ht="15" customHeight="1" outlineLevel="1" spans="1:9">
      <c r="A72" s="19"/>
      <c r="B72" s="45" t="s">
        <v>2358</v>
      </c>
      <c r="C72" s="21" t="s">
        <v>601</v>
      </c>
      <c r="D72" s="21">
        <v>1</v>
      </c>
      <c r="E72" s="23" t="e">
        <f>#REF!</f>
        <v>#REF!</v>
      </c>
      <c r="F72" s="36">
        <v>100</v>
      </c>
      <c r="G72" s="28" t="e">
        <f t="shared" si="7"/>
        <v>#REF!</v>
      </c>
      <c r="H72" s="28" t="e">
        <f>IF(G72=0,"",IF(#REF!=0,"",G72*10000/#REF!))</f>
        <v>#REF!</v>
      </c>
      <c r="I72" s="58"/>
    </row>
    <row r="73" s="2" customFormat="1" ht="15" customHeight="1" outlineLevel="1" spans="1:9">
      <c r="A73" s="19"/>
      <c r="B73" s="45" t="s">
        <v>2359</v>
      </c>
      <c r="C73" s="21" t="s">
        <v>601</v>
      </c>
      <c r="D73" s="21">
        <v>2</v>
      </c>
      <c r="E73" s="23" t="e">
        <f>#REF!</f>
        <v>#REF!</v>
      </c>
      <c r="F73" s="36" t="e">
        <f>#REF!</f>
        <v>#REF!</v>
      </c>
      <c r="G73" s="28" t="e">
        <f t="shared" si="7"/>
        <v>#REF!</v>
      </c>
      <c r="H73" s="28" t="e">
        <f>IF(G73=0,"",IF(#REF!=0,"",G73*10000/#REF!))</f>
        <v>#REF!</v>
      </c>
      <c r="I73" s="58"/>
    </row>
    <row r="74" s="2" customFormat="1" ht="15" customHeight="1" spans="1:9">
      <c r="A74" s="1825" t="s">
        <v>2257</v>
      </c>
      <c r="B74" s="15" t="s">
        <v>2291</v>
      </c>
      <c r="C74" s="16"/>
      <c r="D74" s="16"/>
      <c r="E74" s="17"/>
      <c r="F74" s="88"/>
      <c r="G74" s="18" t="e">
        <f>G75+G76+G77</f>
        <v>#REF!</v>
      </c>
      <c r="H74" s="18" t="e">
        <f>IF(G74=0,"",IF(#REF!=0,"",G74*10000/#REF!))</f>
        <v>#REF!</v>
      </c>
      <c r="I74" s="58"/>
    </row>
    <row r="75" s="2" customFormat="1" ht="15" hidden="1" customHeight="1" outlineLevel="1" spans="1:9">
      <c r="A75" s="19" t="s">
        <v>622</v>
      </c>
      <c r="B75" s="20" t="s">
        <v>2293</v>
      </c>
      <c r="C75" s="66" t="s">
        <v>602</v>
      </c>
      <c r="D75" s="22">
        <v>1</v>
      </c>
      <c r="E75" s="23" t="e">
        <f>#REF!</f>
        <v>#REF!</v>
      </c>
      <c r="F75" s="36"/>
      <c r="G75" s="28" t="e">
        <f>D75*E75*F75/10000</f>
        <v>#REF!</v>
      </c>
      <c r="H75" s="28" t="e">
        <f>IF(G75=0,"",IF(#REF!=0,"",G75*10000/#REF!))</f>
        <v>#REF!</v>
      </c>
      <c r="I75" s="58"/>
    </row>
    <row r="76" s="2" customFormat="1" ht="15" hidden="1" customHeight="1" outlineLevel="1" spans="1:9">
      <c r="A76" s="19" t="s">
        <v>622</v>
      </c>
      <c r="B76" s="20" t="s">
        <v>2361</v>
      </c>
      <c r="C76" s="66"/>
      <c r="D76" s="22"/>
      <c r="E76" s="23"/>
      <c r="F76" s="36"/>
      <c r="G76" s="28">
        <f t="shared" ref="G76:G81" si="8">E76*F76/10000</f>
        <v>0</v>
      </c>
      <c r="H76" s="28" t="str">
        <f>IF(G76=0,"",IF(#REF!=0,"",G76*10000/#REF!))</f>
        <v/>
      </c>
      <c r="I76" s="58"/>
    </row>
    <row r="77" s="2" customFormat="1" ht="15" hidden="1" customHeight="1" outlineLevel="1" spans="1:9">
      <c r="A77" s="19" t="s">
        <v>622</v>
      </c>
      <c r="B77" s="20" t="s">
        <v>2295</v>
      </c>
      <c r="C77" s="22" t="s">
        <v>505</v>
      </c>
      <c r="D77" s="21">
        <v>1</v>
      </c>
      <c r="E77" s="23" t="e">
        <f>#REF!</f>
        <v>#REF!</v>
      </c>
      <c r="F77" s="36"/>
      <c r="G77" s="28" t="e">
        <f>D77*E77*F77/10000</f>
        <v>#REF!</v>
      </c>
      <c r="H77" s="28" t="e">
        <f>IF(G77=0,"",IF(#REF!=0,"",G77*10000/#REF!))</f>
        <v>#REF!</v>
      </c>
      <c r="I77" s="58"/>
    </row>
    <row r="78" s="2" customFormat="1" ht="15" customHeight="1" collapsed="1" spans="1:9">
      <c r="A78" s="1825" t="s">
        <v>2362</v>
      </c>
      <c r="B78" s="15" t="s">
        <v>2363</v>
      </c>
      <c r="C78" s="16"/>
      <c r="D78" s="16"/>
      <c r="E78" s="17"/>
      <c r="F78" s="88"/>
      <c r="G78" s="18" t="e">
        <f>SUM(G79:G81)</f>
        <v>#REF!</v>
      </c>
      <c r="H78" s="18" t="e">
        <f>IF(G78=0,"",IF(#REF!=0,"",G78*10000/#REF!))</f>
        <v>#REF!</v>
      </c>
      <c r="I78" s="74" t="s">
        <v>2364</v>
      </c>
    </row>
    <row r="79" s="2" customFormat="1" ht="15" customHeight="1" outlineLevel="1" spans="1:9">
      <c r="A79" s="19" t="s">
        <v>622</v>
      </c>
      <c r="B79" s="20" t="s">
        <v>2365</v>
      </c>
      <c r="C79" s="66" t="s">
        <v>601</v>
      </c>
      <c r="D79" s="21">
        <v>1</v>
      </c>
      <c r="E79" s="23" t="e">
        <f>#REF!</f>
        <v>#REF!</v>
      </c>
      <c r="F79" s="36">
        <v>3500</v>
      </c>
      <c r="G79" s="28" t="e">
        <f t="shared" si="8"/>
        <v>#REF!</v>
      </c>
      <c r="H79" s="28" t="e">
        <f>IF(G79=0,"",IF(#REF!=0,"",G79*10000/#REF!))</f>
        <v>#REF!</v>
      </c>
      <c r="I79" s="58" t="s">
        <v>2527</v>
      </c>
    </row>
    <row r="80" s="2" customFormat="1" ht="15" customHeight="1" outlineLevel="1" spans="1:9">
      <c r="A80" s="19" t="s">
        <v>622</v>
      </c>
      <c r="B80" s="20" t="s">
        <v>2367</v>
      </c>
      <c r="C80" s="66" t="s">
        <v>601</v>
      </c>
      <c r="D80" s="21">
        <v>1</v>
      </c>
      <c r="E80" s="23" t="e">
        <f>#REF!</f>
        <v>#REF!</v>
      </c>
      <c r="F80" s="36">
        <v>5000</v>
      </c>
      <c r="G80" s="28" t="e">
        <f t="shared" si="8"/>
        <v>#REF!</v>
      </c>
      <c r="H80" s="28" t="e">
        <f>IF(G80=0,"",IF(#REF!=0,"",G80*10000/#REF!))</f>
        <v>#REF!</v>
      </c>
      <c r="I80" s="58" t="s">
        <v>2528</v>
      </c>
    </row>
    <row r="81" s="2" customFormat="1" ht="15" customHeight="1" outlineLevel="1" spans="1:9">
      <c r="A81" s="68" t="s">
        <v>622</v>
      </c>
      <c r="B81" s="69" t="s">
        <v>2368</v>
      </c>
      <c r="C81" s="70" t="s">
        <v>601</v>
      </c>
      <c r="D81" s="99"/>
      <c r="E81" s="72"/>
      <c r="F81" s="99"/>
      <c r="G81" s="73">
        <f t="shared" si="8"/>
        <v>0</v>
      </c>
      <c r="H81" s="73" t="s">
        <v>511</v>
      </c>
      <c r="I81" s="76"/>
    </row>
  </sheetData>
  <mergeCells count="1">
    <mergeCell ref="C1:E1"/>
  </mergeCells>
  <pageMargins left="0.75" right="0.75" top="1" bottom="1" header="0.5" footer="0.5"/>
  <pageSetup paperSize="9" orientation="portrait"/>
  <headerFooter alignWithMargins="0"/>
  <legacyDrawing r:id="rId2"/>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66"/>
  <sheetViews>
    <sheetView workbookViewId="0">
      <selection activeCell="E9" sqref="E9"/>
    </sheetView>
  </sheetViews>
  <sheetFormatPr defaultColWidth="9" defaultRowHeight="12"/>
  <cols>
    <col min="1" max="1" width="4.6" style="4" customWidth="1"/>
    <col min="2" max="2" width="16.6" style="4" customWidth="1"/>
    <col min="3" max="3" width="13.6" style="5" customWidth="1"/>
    <col min="4" max="4" width="6.1" style="1" customWidth="1"/>
    <col min="5" max="5" width="7.1" style="1" customWidth="1"/>
    <col min="6" max="6" width="8.1" style="1" customWidth="1"/>
    <col min="7" max="7" width="10.5" style="1" customWidth="1"/>
    <col min="8" max="8" width="8.1" style="1" customWidth="1"/>
    <col min="9" max="10" width="8.1" style="1" hidden="1" customWidth="1"/>
    <col min="11" max="11" width="10" style="1" hidden="1" customWidth="1"/>
    <col min="12" max="12" width="8.1" style="1" hidden="1" customWidth="1"/>
    <col min="13" max="13" width="23.5" style="4" customWidth="1"/>
    <col min="14" max="14" width="6.1" style="4" customWidth="1"/>
    <col min="15" max="16384" width="9" style="4"/>
  </cols>
  <sheetData>
    <row r="1" ht="16.5" customHeight="1" spans="2:5">
      <c r="B1" s="6" t="e">
        <f>#REF!</f>
        <v>#REF!</v>
      </c>
      <c r="C1" s="7" t="s">
        <v>1524</v>
      </c>
      <c r="D1" s="7"/>
      <c r="E1" s="7"/>
    </row>
    <row r="2" s="1" customFormat="1" ht="30" customHeight="1" spans="1:13">
      <c r="A2" s="8" t="s">
        <v>21</v>
      </c>
      <c r="B2" s="9" t="s">
        <v>494</v>
      </c>
      <c r="C2" s="9" t="s">
        <v>606</v>
      </c>
      <c r="D2" s="9" t="s">
        <v>1295</v>
      </c>
      <c r="E2" s="1830" t="s">
        <v>2322</v>
      </c>
      <c r="F2" s="1830" t="s">
        <v>2240</v>
      </c>
      <c r="G2" s="9" t="s">
        <v>2241</v>
      </c>
      <c r="H2" s="9" t="s">
        <v>503</v>
      </c>
      <c r="I2" s="51" t="s">
        <v>2242</v>
      </c>
      <c r="J2" s="52" t="s">
        <v>2243</v>
      </c>
      <c r="K2" s="52" t="s">
        <v>2244</v>
      </c>
      <c r="L2" s="53" t="s">
        <v>2245</v>
      </c>
      <c r="M2" s="54" t="s">
        <v>1300</v>
      </c>
    </row>
    <row r="3" s="2" customFormat="1" ht="18.75" customHeight="1" spans="1:13">
      <c r="A3" s="10" t="s">
        <v>533</v>
      </c>
      <c r="B3" s="11" t="s">
        <v>2323</v>
      </c>
      <c r="C3" s="12"/>
      <c r="D3" s="12"/>
      <c r="E3" s="12"/>
      <c r="F3" s="12"/>
      <c r="G3" s="13" t="e">
        <f>G4+G9+G32+G38+G46</f>
        <v>#REF!</v>
      </c>
      <c r="H3" s="13" t="e">
        <f>IF(G3=0,"",IF(#REF!=0,"",G3*10000/#REF!))</f>
        <v>#REF!</v>
      </c>
      <c r="I3" s="55"/>
      <c r="J3" s="55"/>
      <c r="K3" s="55"/>
      <c r="L3" s="55"/>
      <c r="M3" s="56"/>
    </row>
    <row r="4" s="2" customFormat="1" ht="15" customHeight="1" spans="1:13">
      <c r="A4" s="1825" t="s">
        <v>2247</v>
      </c>
      <c r="B4" s="15" t="s">
        <v>2248</v>
      </c>
      <c r="C4" s="16"/>
      <c r="D4" s="16"/>
      <c r="E4" s="17"/>
      <c r="F4" s="16"/>
      <c r="G4" s="18" t="e">
        <f>SUM(G5:G8)</f>
        <v>#REF!</v>
      </c>
      <c r="H4" s="18" t="e">
        <f>IF(G4=0,"",IF(#REF!=0,"",G4*10000/#REF!))</f>
        <v>#REF!</v>
      </c>
      <c r="I4" s="57"/>
      <c r="J4" s="57"/>
      <c r="K4" s="57"/>
      <c r="L4" s="57"/>
      <c r="M4" s="58"/>
    </row>
    <row r="5" s="2" customFormat="1" ht="15" customHeight="1" outlineLevel="1" spans="1:13">
      <c r="A5" s="19" t="s">
        <v>622</v>
      </c>
      <c r="B5" s="20" t="s">
        <v>2249</v>
      </c>
      <c r="C5" s="21" t="s">
        <v>167</v>
      </c>
      <c r="D5" s="22">
        <v>5</v>
      </c>
      <c r="E5" s="23" t="e">
        <f>#REF!</f>
        <v>#REF!</v>
      </c>
      <c r="F5" s="24">
        <f>可售底商!G5</f>
        <v>0</v>
      </c>
      <c r="G5" s="25" t="e">
        <f t="shared" ref="G5:G8" si="0">E5*F5*D5/10000</f>
        <v>#REF!</v>
      </c>
      <c r="H5" s="25" t="e">
        <f>IF(G5=0,"",IF(#REF!=0,"",G5*10000/#REF!))</f>
        <v>#REF!</v>
      </c>
      <c r="I5" s="59"/>
      <c r="J5" s="59"/>
      <c r="K5" s="59"/>
      <c r="L5" s="59"/>
      <c r="M5" s="58"/>
    </row>
    <row r="6" s="2" customFormat="1" ht="15" customHeight="1" outlineLevel="1" spans="1:13">
      <c r="A6" s="19" t="s">
        <v>622</v>
      </c>
      <c r="B6" s="20" t="s">
        <v>2324</v>
      </c>
      <c r="C6" s="22" t="s">
        <v>505</v>
      </c>
      <c r="D6" s="22">
        <v>1</v>
      </c>
      <c r="E6" s="23" t="e">
        <f>#REF!</f>
        <v>#REF!</v>
      </c>
      <c r="F6" s="22">
        <v>20</v>
      </c>
      <c r="G6" s="25" t="e">
        <f t="shared" si="0"/>
        <v>#REF!</v>
      </c>
      <c r="H6" s="25" t="e">
        <f>IF(G6=0,"",IF(#REF!=0,"",G6*10000/#REF!))</f>
        <v>#REF!</v>
      </c>
      <c r="I6" s="59"/>
      <c r="J6" s="59"/>
      <c r="K6" s="59"/>
      <c r="L6" s="59"/>
      <c r="M6" s="58"/>
    </row>
    <row r="7" s="2" customFormat="1" ht="15" customHeight="1" outlineLevel="1" spans="1:13">
      <c r="A7" s="19" t="s">
        <v>622</v>
      </c>
      <c r="B7" s="20" t="s">
        <v>2325</v>
      </c>
      <c r="C7" s="22" t="s">
        <v>505</v>
      </c>
      <c r="D7" s="22">
        <v>1</v>
      </c>
      <c r="E7" s="23" t="e">
        <f>#REF!</f>
        <v>#REF!</v>
      </c>
      <c r="F7" s="22" t="e">
        <f>#REF!</f>
        <v>#REF!</v>
      </c>
      <c r="G7" s="25" t="e">
        <f t="shared" si="0"/>
        <v>#REF!</v>
      </c>
      <c r="H7" s="25" t="e">
        <f>IF(G7=0,"",IF(#REF!=0,"",G7*10000/#REF!))</f>
        <v>#REF!</v>
      </c>
      <c r="I7" s="59"/>
      <c r="J7" s="59"/>
      <c r="K7" s="59"/>
      <c r="L7" s="59"/>
      <c r="M7" s="58"/>
    </row>
    <row r="8" s="2" customFormat="1" ht="15" customHeight="1" outlineLevel="1" spans="1:13">
      <c r="A8" s="19" t="s">
        <v>622</v>
      </c>
      <c r="B8" s="20" t="s">
        <v>2327</v>
      </c>
      <c r="C8" s="22" t="s">
        <v>505</v>
      </c>
      <c r="D8" s="22">
        <v>1</v>
      </c>
      <c r="E8" s="23" t="e">
        <f>#REF!</f>
        <v>#REF!</v>
      </c>
      <c r="F8" s="22">
        <v>5</v>
      </c>
      <c r="G8" s="25" t="e">
        <f t="shared" si="0"/>
        <v>#REF!</v>
      </c>
      <c r="H8" s="25" t="e">
        <f>IF(G8=0,"",IF(#REF!=0,"",G8*10000/#REF!))</f>
        <v>#REF!</v>
      </c>
      <c r="I8" s="59"/>
      <c r="J8" s="59"/>
      <c r="K8" s="59"/>
      <c r="L8" s="59"/>
      <c r="M8" s="58"/>
    </row>
    <row r="9" s="2" customFormat="1" ht="15" customHeight="1" spans="1:13">
      <c r="A9" s="1825" t="s">
        <v>2257</v>
      </c>
      <c r="B9" s="15" t="s">
        <v>2258</v>
      </c>
      <c r="C9" s="16"/>
      <c r="D9" s="16"/>
      <c r="E9" s="17"/>
      <c r="F9" s="16"/>
      <c r="G9" s="18" t="e">
        <f>G10+G14+G15+G21+G27</f>
        <v>#REF!</v>
      </c>
      <c r="H9" s="18" t="e">
        <f>IF(G9=0,"",IF(#REF!=0,"",G9*10000/#REF!))</f>
        <v>#REF!</v>
      </c>
      <c r="I9" s="57"/>
      <c r="J9" s="57"/>
      <c r="K9" s="57"/>
      <c r="L9" s="57"/>
      <c r="M9" s="60"/>
    </row>
    <row r="10" s="2" customFormat="1" ht="15" customHeight="1" outlineLevel="1" spans="1:13">
      <c r="A10" s="26" t="s">
        <v>622</v>
      </c>
      <c r="B10" s="1826" t="s">
        <v>2259</v>
      </c>
      <c r="C10" s="22" t="s">
        <v>505</v>
      </c>
      <c r="D10" s="22"/>
      <c r="E10" s="23"/>
      <c r="F10" s="22"/>
      <c r="G10" s="28" t="e">
        <f>SUM(G11:G13)</f>
        <v>#REF!</v>
      </c>
      <c r="H10" s="28" t="e">
        <f>IF(G10=0,"",IF(#REF!=0,"",G10*10000/#REF!))</f>
        <v>#REF!</v>
      </c>
      <c r="I10" s="43"/>
      <c r="J10" s="43"/>
      <c r="K10" s="43"/>
      <c r="L10" s="43"/>
      <c r="M10" s="58"/>
    </row>
    <row r="11" s="2" customFormat="1" ht="15" customHeight="1" outlineLevel="1" spans="1:13">
      <c r="A11" s="26"/>
      <c r="B11" s="1827" t="s">
        <v>1536</v>
      </c>
      <c r="C11" s="22" t="s">
        <v>505</v>
      </c>
      <c r="D11" s="78">
        <v>0.5</v>
      </c>
      <c r="E11" s="23" t="e">
        <f>#REF!</f>
        <v>#REF!</v>
      </c>
      <c r="F11" s="40" t="e">
        <f>'保护建筑(销售商业)'!F11</f>
        <v>#REF!</v>
      </c>
      <c r="G11" s="28" t="e">
        <f t="shared" ref="G11:G14" si="1">D11*E11*F11/10000</f>
        <v>#REF!</v>
      </c>
      <c r="H11" s="28"/>
      <c r="I11" s="43"/>
      <c r="J11" s="43"/>
      <c r="K11" s="43"/>
      <c r="L11" s="43"/>
      <c r="M11" s="58"/>
    </row>
    <row r="12" s="2" customFormat="1" ht="15" customHeight="1" outlineLevel="1" spans="1:13">
      <c r="A12" s="26"/>
      <c r="B12" s="1827" t="s">
        <v>1543</v>
      </c>
      <c r="C12" s="22" t="s">
        <v>505</v>
      </c>
      <c r="D12" s="78">
        <v>60</v>
      </c>
      <c r="E12" s="23" t="e">
        <f>#REF!</f>
        <v>#REF!</v>
      </c>
      <c r="F12" s="40" t="e">
        <f>'保护建筑(销售商业)'!F12</f>
        <v>#REF!</v>
      </c>
      <c r="G12" s="28" t="e">
        <f t="shared" si="1"/>
        <v>#REF!</v>
      </c>
      <c r="H12" s="28"/>
      <c r="I12" s="43"/>
      <c r="J12" s="43"/>
      <c r="K12" s="43"/>
      <c r="L12" s="43"/>
      <c r="M12" s="58"/>
    </row>
    <row r="13" s="2" customFormat="1" ht="15" customHeight="1" outlineLevel="1" spans="1:13">
      <c r="A13" s="26"/>
      <c r="B13" s="1827" t="s">
        <v>1550</v>
      </c>
      <c r="C13" s="22" t="s">
        <v>505</v>
      </c>
      <c r="D13" s="22">
        <v>4.5</v>
      </c>
      <c r="E13" s="23" t="e">
        <f>#REF!</f>
        <v>#REF!</v>
      </c>
      <c r="F13" s="40" t="e">
        <f>'保护建筑(销售商业)'!F13</f>
        <v>#REF!</v>
      </c>
      <c r="G13" s="28" t="e">
        <f t="shared" si="1"/>
        <v>#REF!</v>
      </c>
      <c r="H13" s="28"/>
      <c r="I13" s="43"/>
      <c r="J13" s="43"/>
      <c r="K13" s="43"/>
      <c r="L13" s="43"/>
      <c r="M13" s="58"/>
    </row>
    <row r="14" s="2" customFormat="1" ht="15" customHeight="1" outlineLevel="1" spans="1:13">
      <c r="A14" s="26" t="s">
        <v>622</v>
      </c>
      <c r="B14" s="1828" t="s">
        <v>1552</v>
      </c>
      <c r="C14" s="22" t="s">
        <v>505</v>
      </c>
      <c r="D14" s="22">
        <v>0.22</v>
      </c>
      <c r="E14" s="23" t="e">
        <f>#REF!</f>
        <v>#REF!</v>
      </c>
      <c r="F14" s="40" t="e">
        <f>'保护建筑(销售商业)'!F14</f>
        <v>#REF!</v>
      </c>
      <c r="G14" s="28" t="e">
        <f t="shared" si="1"/>
        <v>#REF!</v>
      </c>
      <c r="H14" s="28" t="e">
        <f>IF(G14=0,"",IF(#REF!=0,"",G14*10000/#REF!))</f>
        <v>#REF!</v>
      </c>
      <c r="I14" s="43"/>
      <c r="J14" s="43"/>
      <c r="K14" s="43"/>
      <c r="L14" s="43"/>
      <c r="M14" s="58"/>
    </row>
    <row r="15" s="2" customFormat="1" ht="15" customHeight="1" outlineLevel="1" spans="1:13">
      <c r="A15" s="26" t="s">
        <v>622</v>
      </c>
      <c r="B15" s="1828" t="s">
        <v>1564</v>
      </c>
      <c r="C15" s="22" t="s">
        <v>505</v>
      </c>
      <c r="D15" s="22"/>
      <c r="E15" s="23"/>
      <c r="F15" s="79"/>
      <c r="G15" s="28" t="e">
        <f>SUM(G16:G20)</f>
        <v>#REF!</v>
      </c>
      <c r="H15" s="28" t="e">
        <f>IF(G15=0,"",IF(#REF!=0,"",G15*10000/#REF!))</f>
        <v>#REF!</v>
      </c>
      <c r="I15" s="43"/>
      <c r="J15" s="43"/>
      <c r="K15" s="43"/>
      <c r="L15" s="43"/>
      <c r="M15" s="58"/>
    </row>
    <row r="16" s="2" customFormat="1" ht="15" customHeight="1" outlineLevel="1" spans="1:13">
      <c r="A16" s="26"/>
      <c r="B16" s="34" t="s">
        <v>2260</v>
      </c>
      <c r="C16" s="22" t="s">
        <v>505</v>
      </c>
      <c r="D16" s="40">
        <f>高层18!D16</f>
        <v>0.9</v>
      </c>
      <c r="E16" s="23" t="e">
        <f>#REF!</f>
        <v>#REF!</v>
      </c>
      <c r="F16" s="79">
        <v>28</v>
      </c>
      <c r="G16" s="28" t="e">
        <f>E16*F16*D16/10000</f>
        <v>#REF!</v>
      </c>
      <c r="H16" s="28"/>
      <c r="I16" s="43"/>
      <c r="J16" s="43"/>
      <c r="K16" s="43"/>
      <c r="L16" s="43"/>
      <c r="M16" s="58"/>
    </row>
    <row r="17" s="2" customFormat="1" ht="15" customHeight="1" outlineLevel="1" spans="1:13">
      <c r="A17" s="26"/>
      <c r="B17" s="34" t="s">
        <v>2328</v>
      </c>
      <c r="C17" s="22" t="s">
        <v>505</v>
      </c>
      <c r="D17" s="40">
        <v>3</v>
      </c>
      <c r="E17" s="23" t="e">
        <f>#REF!</f>
        <v>#REF!</v>
      </c>
      <c r="F17" s="79">
        <v>32</v>
      </c>
      <c r="G17" s="28" t="e">
        <f>E17*F17*D17/10000</f>
        <v>#REF!</v>
      </c>
      <c r="H17" s="28"/>
      <c r="I17" s="43"/>
      <c r="J17" s="43"/>
      <c r="K17" s="43"/>
      <c r="L17" s="43"/>
      <c r="M17" s="58"/>
    </row>
    <row r="18" s="2" customFormat="1" ht="15" customHeight="1" outlineLevel="1" spans="1:13">
      <c r="A18" s="26"/>
      <c r="B18" s="34" t="s">
        <v>2263</v>
      </c>
      <c r="C18" s="22" t="s">
        <v>505</v>
      </c>
      <c r="D18" s="40">
        <f>高层18!D18</f>
        <v>1.9</v>
      </c>
      <c r="E18" s="23" t="e">
        <f>#REF!</f>
        <v>#REF!</v>
      </c>
      <c r="F18" s="79">
        <v>8</v>
      </c>
      <c r="G18" s="28" t="e">
        <f t="shared" ref="G18:G26" si="2">E18*F18*D18/10000</f>
        <v>#REF!</v>
      </c>
      <c r="H18" s="28"/>
      <c r="I18" s="43"/>
      <c r="J18" s="43"/>
      <c r="K18" s="43"/>
      <c r="L18" s="43"/>
      <c r="M18" s="58"/>
    </row>
    <row r="19" s="2" customFormat="1" ht="15" customHeight="1" outlineLevel="1" spans="1:13">
      <c r="A19" s="26"/>
      <c r="B19" s="34" t="s">
        <v>2329</v>
      </c>
      <c r="C19" s="22" t="s">
        <v>505</v>
      </c>
      <c r="D19" s="40">
        <f>高层18!D19</f>
        <v>0.5</v>
      </c>
      <c r="E19" s="23" t="e">
        <f>#REF!</f>
        <v>#REF!</v>
      </c>
      <c r="F19" s="79">
        <v>18</v>
      </c>
      <c r="G19" s="28" t="e">
        <f t="shared" si="2"/>
        <v>#REF!</v>
      </c>
      <c r="H19" s="28"/>
      <c r="I19" s="43"/>
      <c r="J19" s="43"/>
      <c r="K19" s="43"/>
      <c r="L19" s="43"/>
      <c r="M19" s="58"/>
    </row>
    <row r="20" s="2" customFormat="1" ht="15" customHeight="1" outlineLevel="1" spans="1:13">
      <c r="A20" s="26"/>
      <c r="B20" s="34" t="s">
        <v>2330</v>
      </c>
      <c r="C20" s="22" t="s">
        <v>505</v>
      </c>
      <c r="D20" s="40"/>
      <c r="E20" s="23" t="e">
        <f>#REF!</f>
        <v>#REF!</v>
      </c>
      <c r="F20" s="79">
        <v>86</v>
      </c>
      <c r="G20" s="28" t="e">
        <f t="shared" si="2"/>
        <v>#REF!</v>
      </c>
      <c r="H20" s="28"/>
      <c r="I20" s="43"/>
      <c r="J20" s="43"/>
      <c r="K20" s="43"/>
      <c r="L20" s="43"/>
      <c r="M20" s="58"/>
    </row>
    <row r="21" s="2" customFormat="1" ht="15" customHeight="1" outlineLevel="1" spans="1:13">
      <c r="A21" s="26" t="s">
        <v>622</v>
      </c>
      <c r="B21" s="1828" t="s">
        <v>2266</v>
      </c>
      <c r="C21" s="22"/>
      <c r="D21" s="79"/>
      <c r="E21" s="23"/>
      <c r="F21" s="79"/>
      <c r="G21" s="28" t="e">
        <f>SUM(G22:G26)</f>
        <v>#REF!</v>
      </c>
      <c r="H21" s="28" t="e">
        <f>IF(G21=0,"",IF(#REF!=0,"",G21*10000/#REF!))</f>
        <v>#REF!</v>
      </c>
      <c r="I21" s="43"/>
      <c r="J21" s="43"/>
      <c r="K21" s="43"/>
      <c r="L21" s="43"/>
      <c r="M21" s="58"/>
    </row>
    <row r="22" s="2" customFormat="1" ht="15" customHeight="1" outlineLevel="1" spans="1:13">
      <c r="A22" s="26"/>
      <c r="B22" s="34" t="s">
        <v>2271</v>
      </c>
      <c r="C22" s="80" t="s">
        <v>598</v>
      </c>
      <c r="D22" s="79">
        <f>高层18!D22</f>
        <v>1.3</v>
      </c>
      <c r="E22" s="23" t="e">
        <f>#REF!</f>
        <v>#REF!</v>
      </c>
      <c r="F22" s="79">
        <v>98</v>
      </c>
      <c r="G22" s="28" t="e">
        <f t="shared" si="2"/>
        <v>#REF!</v>
      </c>
      <c r="H22" s="28"/>
      <c r="I22" s="43"/>
      <c r="J22" s="43"/>
      <c r="K22" s="43"/>
      <c r="L22" s="43"/>
      <c r="M22" s="58"/>
    </row>
    <row r="23" s="2" customFormat="1" ht="15" customHeight="1" outlineLevel="1" spans="1:13">
      <c r="A23" s="26"/>
      <c r="B23" s="34" t="s">
        <v>2331</v>
      </c>
      <c r="C23" s="80" t="s">
        <v>598</v>
      </c>
      <c r="D23" s="79">
        <f>高层18!D23</f>
        <v>1</v>
      </c>
      <c r="E23" s="23" t="e">
        <f>#REF!</f>
        <v>#REF!</v>
      </c>
      <c r="F23" s="79">
        <v>47</v>
      </c>
      <c r="G23" s="28" t="e">
        <f t="shared" si="2"/>
        <v>#REF!</v>
      </c>
      <c r="H23" s="28"/>
      <c r="I23" s="43"/>
      <c r="J23" s="43"/>
      <c r="K23" s="43"/>
      <c r="L23" s="43"/>
      <c r="M23" s="58"/>
    </row>
    <row r="24" s="2" customFormat="1" ht="15" customHeight="1" outlineLevel="1" spans="1:13">
      <c r="A24" s="26"/>
      <c r="B24" s="34" t="s">
        <v>2332</v>
      </c>
      <c r="C24" s="22" t="s">
        <v>505</v>
      </c>
      <c r="D24" s="79">
        <f>高层18!D24</f>
        <v>0.15</v>
      </c>
      <c r="E24" s="23" t="e">
        <f>#REF!</f>
        <v>#REF!</v>
      </c>
      <c r="F24" s="79">
        <v>47</v>
      </c>
      <c r="G24" s="28" t="e">
        <f t="shared" si="2"/>
        <v>#REF!</v>
      </c>
      <c r="H24" s="28"/>
      <c r="I24" s="43"/>
      <c r="J24" s="43"/>
      <c r="K24" s="43"/>
      <c r="L24" s="43"/>
      <c r="M24" s="58"/>
    </row>
    <row r="25" s="2" customFormat="1" ht="15" customHeight="1" outlineLevel="1" spans="1:13">
      <c r="A25" s="26"/>
      <c r="B25" s="34" t="s">
        <v>2269</v>
      </c>
      <c r="C25" s="22" t="s">
        <v>505</v>
      </c>
      <c r="D25" s="79">
        <f>高层18!D25</f>
        <v>0.15</v>
      </c>
      <c r="E25" s="23" t="e">
        <f>#REF!</f>
        <v>#REF!</v>
      </c>
      <c r="F25" s="79">
        <v>43</v>
      </c>
      <c r="G25" s="28" t="e">
        <f t="shared" si="2"/>
        <v>#REF!</v>
      </c>
      <c r="H25" s="28"/>
      <c r="I25" s="43"/>
      <c r="J25" s="43"/>
      <c r="K25" s="43"/>
      <c r="L25" s="43"/>
      <c r="M25" s="58"/>
    </row>
    <row r="26" s="2" customFormat="1" ht="15" customHeight="1" outlineLevel="1" spans="1:13">
      <c r="A26" s="26"/>
      <c r="B26" s="34" t="s">
        <v>2333</v>
      </c>
      <c r="C26" s="22" t="s">
        <v>505</v>
      </c>
      <c r="D26" s="79">
        <f>高层18!D26</f>
        <v>0.05</v>
      </c>
      <c r="E26" s="23" t="e">
        <f>#REF!</f>
        <v>#REF!</v>
      </c>
      <c r="F26" s="79">
        <v>47</v>
      </c>
      <c r="G26" s="28" t="e">
        <f t="shared" si="2"/>
        <v>#REF!</v>
      </c>
      <c r="H26" s="28"/>
      <c r="I26" s="43"/>
      <c r="J26" s="43"/>
      <c r="K26" s="43"/>
      <c r="L26" s="43"/>
      <c r="M26" s="58"/>
    </row>
    <row r="27" s="2" customFormat="1" ht="15" customHeight="1" outlineLevel="1" spans="1:13">
      <c r="A27" s="26" t="s">
        <v>622</v>
      </c>
      <c r="B27" s="27" t="s">
        <v>1275</v>
      </c>
      <c r="C27" s="22"/>
      <c r="D27" s="22"/>
      <c r="E27" s="23"/>
      <c r="F27" s="79"/>
      <c r="G27" s="28" t="e">
        <f>SUM(G28:G31)</f>
        <v>#REF!</v>
      </c>
      <c r="H27" s="28" t="e">
        <f>IF(G27=0,"",IF(#REF!=0,"",G27*10000/#REF!))</f>
        <v>#REF!</v>
      </c>
      <c r="I27" s="43"/>
      <c r="J27" s="43"/>
      <c r="K27" s="43"/>
      <c r="L27" s="43"/>
      <c r="M27" s="58"/>
    </row>
    <row r="28" s="2" customFormat="1" ht="15" customHeight="1" outlineLevel="1" spans="1:13">
      <c r="A28" s="26"/>
      <c r="B28" s="1829" t="s">
        <v>2274</v>
      </c>
      <c r="C28" s="22" t="s">
        <v>505</v>
      </c>
      <c r="D28" s="22">
        <v>1</v>
      </c>
      <c r="E28" s="23" t="e">
        <f>#REF!</f>
        <v>#REF!</v>
      </c>
      <c r="F28" s="79">
        <f>200</f>
        <v>200</v>
      </c>
      <c r="G28" s="28" t="e">
        <f t="shared" ref="G28:G31" si="3">D28*E28*F28/10000</f>
        <v>#REF!</v>
      </c>
      <c r="H28" s="28" t="e">
        <f>IF(G28=0,"",IF(#REF!=0,"",G28*10000/#REF!))</f>
        <v>#REF!</v>
      </c>
      <c r="I28" s="43"/>
      <c r="J28" s="43"/>
      <c r="K28" s="43"/>
      <c r="L28" s="43"/>
      <c r="M28" s="58"/>
    </row>
    <row r="29" s="2" customFormat="1" ht="15" customHeight="1" outlineLevel="1" spans="1:13">
      <c r="A29" s="26"/>
      <c r="B29" s="34" t="s">
        <v>2529</v>
      </c>
      <c r="C29" s="22"/>
      <c r="D29" s="22">
        <v>1</v>
      </c>
      <c r="E29" s="23">
        <v>2000</v>
      </c>
      <c r="F29" s="79">
        <v>3000</v>
      </c>
      <c r="G29" s="28">
        <f t="shared" si="3"/>
        <v>600</v>
      </c>
      <c r="H29" s="28"/>
      <c r="I29" s="43"/>
      <c r="J29" s="43"/>
      <c r="K29" s="43"/>
      <c r="L29" s="43"/>
      <c r="M29" s="58"/>
    </row>
    <row r="30" s="2" customFormat="1" ht="15" customHeight="1" outlineLevel="1" spans="1:13">
      <c r="A30" s="26"/>
      <c r="B30" s="1829" t="s">
        <v>2275</v>
      </c>
      <c r="C30" s="22" t="s">
        <v>505</v>
      </c>
      <c r="D30" s="41">
        <v>0.03</v>
      </c>
      <c r="E30" s="23" t="e">
        <f>#REF!</f>
        <v>#REF!</v>
      </c>
      <c r="F30" s="42" t="e">
        <f>SUM(H10,H14,H15,H28,H21)</f>
        <v>#REF!</v>
      </c>
      <c r="G30" s="28" t="e">
        <f t="shared" si="3"/>
        <v>#REF!</v>
      </c>
      <c r="H30" s="28"/>
      <c r="I30" s="43"/>
      <c r="J30" s="43"/>
      <c r="K30" s="43"/>
      <c r="L30" s="43"/>
      <c r="M30" s="61"/>
    </row>
    <row r="31" s="2" customFormat="1" ht="15" customHeight="1" outlineLevel="1" spans="1:13">
      <c r="A31" s="26"/>
      <c r="B31" s="43" t="s">
        <v>2277</v>
      </c>
      <c r="C31" s="22"/>
      <c r="D31" s="22">
        <v>1</v>
      </c>
      <c r="E31" s="23" t="e">
        <f>#REF!</f>
        <v>#REF!</v>
      </c>
      <c r="F31" s="79">
        <v>100</v>
      </c>
      <c r="G31" s="28" t="e">
        <f t="shared" si="3"/>
        <v>#REF!</v>
      </c>
      <c r="H31" s="28"/>
      <c r="I31" s="43"/>
      <c r="J31" s="43"/>
      <c r="K31" s="43"/>
      <c r="L31" s="43"/>
      <c r="M31" s="58"/>
    </row>
    <row r="32" s="2" customFormat="1" ht="15" customHeight="1" spans="1:13">
      <c r="A32" s="1825" t="s">
        <v>2336</v>
      </c>
      <c r="B32" s="15" t="s">
        <v>1803</v>
      </c>
      <c r="C32" s="16"/>
      <c r="D32" s="16"/>
      <c r="E32" s="17"/>
      <c r="F32" s="16"/>
      <c r="G32" s="18" t="e">
        <f>SUM(G33:G37)</f>
        <v>#REF!</v>
      </c>
      <c r="H32" s="18" t="e">
        <f>IF(G32=0,"",IF(#REF!=0,"",G32*10000/#REF!))</f>
        <v>#REF!</v>
      </c>
      <c r="I32" s="57"/>
      <c r="J32" s="57"/>
      <c r="K32" s="57"/>
      <c r="L32" s="57"/>
      <c r="M32" s="58"/>
    </row>
    <row r="33" s="2" customFormat="1" ht="15" customHeight="1" outlineLevel="1" spans="1:13">
      <c r="A33" s="19" t="s">
        <v>622</v>
      </c>
      <c r="B33" s="20" t="s">
        <v>2337</v>
      </c>
      <c r="C33" s="22" t="s">
        <v>602</v>
      </c>
      <c r="D33" s="22"/>
      <c r="E33" s="23"/>
      <c r="F33" s="22"/>
      <c r="G33" s="28">
        <f t="shared" ref="G33:G37" si="4">D33*E33*F33/10000</f>
        <v>0</v>
      </c>
      <c r="H33" s="28" t="str">
        <f>IF(G33=0,"",IF(#REF!=0,"",G33*10000/#REF!))</f>
        <v/>
      </c>
      <c r="I33" s="43"/>
      <c r="J33" s="43"/>
      <c r="K33" s="43"/>
      <c r="L33" s="43"/>
      <c r="M33" s="58"/>
    </row>
    <row r="34" s="2" customFormat="1" ht="15" customHeight="1" outlineLevel="1" spans="1:13">
      <c r="A34" s="19" t="s">
        <v>622</v>
      </c>
      <c r="B34" s="20" t="s">
        <v>1808</v>
      </c>
      <c r="C34" s="22" t="s">
        <v>1806</v>
      </c>
      <c r="D34" s="22"/>
      <c r="E34" s="23"/>
      <c r="F34" s="40"/>
      <c r="G34" s="28">
        <f t="shared" si="4"/>
        <v>0</v>
      </c>
      <c r="H34" s="28" t="str">
        <f>IF(G34=0,"",IF(#REF!=0,"",G34*10000/#REF!))</f>
        <v/>
      </c>
      <c r="I34" s="43"/>
      <c r="J34" s="43"/>
      <c r="K34" s="43"/>
      <c r="L34" s="43"/>
      <c r="M34" s="62"/>
    </row>
    <row r="35" s="2" customFormat="1" ht="15" customHeight="1" outlineLevel="1" spans="1:13">
      <c r="A35" s="19" t="s">
        <v>622</v>
      </c>
      <c r="B35" s="20" t="s">
        <v>2338</v>
      </c>
      <c r="C35" s="22" t="s">
        <v>505</v>
      </c>
      <c r="D35" s="22"/>
      <c r="E35" s="23"/>
      <c r="F35" s="79"/>
      <c r="G35" s="28">
        <f t="shared" si="4"/>
        <v>0</v>
      </c>
      <c r="H35" s="28" t="str">
        <f>IF(G35=0,"",IF(#REF!=0,"",G35*10000/#REF!))</f>
        <v/>
      </c>
      <c r="I35" s="43"/>
      <c r="J35" s="43"/>
      <c r="K35" s="43"/>
      <c r="L35" s="43"/>
      <c r="M35" s="58"/>
    </row>
    <row r="36" s="2" customFormat="1" ht="15" customHeight="1" outlineLevel="1" spans="1:13">
      <c r="A36" s="19" t="s">
        <v>622</v>
      </c>
      <c r="B36" s="20" t="s">
        <v>2307</v>
      </c>
      <c r="C36" s="22" t="s">
        <v>505</v>
      </c>
      <c r="D36" s="22">
        <v>1</v>
      </c>
      <c r="E36" s="23" t="e">
        <f>#REF!</f>
        <v>#REF!</v>
      </c>
      <c r="F36" s="79">
        <v>20</v>
      </c>
      <c r="G36" s="28" t="e">
        <f t="shared" si="4"/>
        <v>#REF!</v>
      </c>
      <c r="H36" s="28" t="e">
        <f>IF(G36=0,"",IF(#REF!=0,"",G36*10000/#REF!))</f>
        <v>#REF!</v>
      </c>
      <c r="I36" s="43"/>
      <c r="J36" s="43"/>
      <c r="K36" s="43"/>
      <c r="L36" s="43"/>
      <c r="M36" s="58"/>
    </row>
    <row r="37" s="2" customFormat="1" ht="18.75" customHeight="1" outlineLevel="1" spans="1:13">
      <c r="A37" s="19" t="s">
        <v>622</v>
      </c>
      <c r="B37" s="20" t="s">
        <v>1813</v>
      </c>
      <c r="C37" s="22" t="s">
        <v>505</v>
      </c>
      <c r="D37" s="22">
        <v>0.4</v>
      </c>
      <c r="E37" s="23" t="e">
        <f>#REF!</f>
        <v>#REF!</v>
      </c>
      <c r="F37" s="79">
        <v>1000</v>
      </c>
      <c r="G37" s="28" t="e">
        <f t="shared" si="4"/>
        <v>#REF!</v>
      </c>
      <c r="H37" s="28" t="e">
        <f>IF(G37=0,"",IF(#REF!=0,"",G37*10000/#REF!))</f>
        <v>#REF!</v>
      </c>
      <c r="I37" s="43"/>
      <c r="J37" s="43"/>
      <c r="K37" s="43"/>
      <c r="L37" s="43"/>
      <c r="M37" s="61"/>
    </row>
    <row r="38" s="2" customFormat="1" ht="15" customHeight="1" spans="1:13">
      <c r="A38" s="1825" t="s">
        <v>2340</v>
      </c>
      <c r="B38" s="15" t="s">
        <v>2308</v>
      </c>
      <c r="C38" s="16"/>
      <c r="D38" s="16"/>
      <c r="E38" s="17"/>
      <c r="F38" s="81"/>
      <c r="G38" s="18" t="e">
        <f>SUM(G39:G45)</f>
        <v>#REF!</v>
      </c>
      <c r="H38" s="18" t="e">
        <f>IF(G38=0,"",IF(#REF!=0,"",G38*10000/#REF!))</f>
        <v>#REF!</v>
      </c>
      <c r="I38" s="57"/>
      <c r="J38" s="57"/>
      <c r="K38" s="57"/>
      <c r="L38" s="57"/>
      <c r="M38" s="58"/>
    </row>
    <row r="39" s="2" customFormat="1" ht="15" customHeight="1" outlineLevel="1" spans="1:13">
      <c r="A39" s="19" t="s">
        <v>622</v>
      </c>
      <c r="B39" s="45" t="s">
        <v>2341</v>
      </c>
      <c r="C39" s="21" t="s">
        <v>505</v>
      </c>
      <c r="D39" s="47">
        <v>1</v>
      </c>
      <c r="E39" s="23" t="e">
        <f>#REF!</f>
        <v>#REF!</v>
      </c>
      <c r="F39" s="82">
        <v>150</v>
      </c>
      <c r="G39" s="28" t="e">
        <f>E39*F39*D39/10000</f>
        <v>#REF!</v>
      </c>
      <c r="H39" s="28" t="e">
        <f>IF(G39=0,"",IF(#REF!=0,"",G39*10000/#REF!))</f>
        <v>#REF!</v>
      </c>
      <c r="I39" s="43"/>
      <c r="J39" s="43"/>
      <c r="K39" s="43"/>
      <c r="L39" s="43"/>
      <c r="M39" s="58"/>
    </row>
    <row r="40" s="2" customFormat="1" ht="15" customHeight="1" outlineLevel="1" spans="1:13">
      <c r="A40" s="19" t="s">
        <v>622</v>
      </c>
      <c r="B40" s="45" t="s">
        <v>2312</v>
      </c>
      <c r="C40" s="21" t="s">
        <v>505</v>
      </c>
      <c r="D40" s="47">
        <v>1</v>
      </c>
      <c r="E40" s="23" t="e">
        <f>#REF!</f>
        <v>#REF!</v>
      </c>
      <c r="F40" s="82">
        <v>130</v>
      </c>
      <c r="G40" s="28" t="e">
        <f t="shared" ref="G40:G45" si="5">E40*F40*D40/10000</f>
        <v>#REF!</v>
      </c>
      <c r="H40" s="28" t="e">
        <f>IF(G40=0,"",IF(#REF!=0,"",G40*10000/#REF!))</f>
        <v>#REF!</v>
      </c>
      <c r="I40" s="43"/>
      <c r="J40" s="43"/>
      <c r="K40" s="43"/>
      <c r="L40" s="43"/>
      <c r="M40" s="58"/>
    </row>
    <row r="41" s="2" customFormat="1" ht="15" customHeight="1" outlineLevel="1" spans="1:13">
      <c r="A41" s="19" t="s">
        <v>622</v>
      </c>
      <c r="B41" s="45" t="s">
        <v>2297</v>
      </c>
      <c r="C41" s="21" t="s">
        <v>505</v>
      </c>
      <c r="D41" s="47">
        <v>1</v>
      </c>
      <c r="E41" s="23" t="e">
        <f>#REF!</f>
        <v>#REF!</v>
      </c>
      <c r="F41" s="83">
        <v>500</v>
      </c>
      <c r="G41" s="28" t="e">
        <f t="shared" si="5"/>
        <v>#REF!</v>
      </c>
      <c r="H41" s="28" t="e">
        <f>IF(G41=0,"",IF(#REF!=0,"",G41*10000/#REF!))</f>
        <v>#REF!</v>
      </c>
      <c r="I41" s="43"/>
      <c r="J41" s="43"/>
      <c r="K41" s="43"/>
      <c r="L41" s="43"/>
      <c r="M41" s="58"/>
    </row>
    <row r="42" s="2" customFormat="1" ht="15" customHeight="1" outlineLevel="1" spans="1:13">
      <c r="A42" s="19" t="s">
        <v>622</v>
      </c>
      <c r="B42" s="45" t="s">
        <v>2311</v>
      </c>
      <c r="C42" s="21" t="s">
        <v>505</v>
      </c>
      <c r="D42" s="23" t="e">
        <f>#REF!*#REF!</f>
        <v>#REF!</v>
      </c>
      <c r="E42" s="23">
        <v>50</v>
      </c>
      <c r="F42" s="83">
        <v>8</v>
      </c>
      <c r="G42" s="28" t="e">
        <f t="shared" si="5"/>
        <v>#REF!</v>
      </c>
      <c r="H42" s="28" t="e">
        <f>IF(G42=0,"",IF(#REF!=0,"",G42*10000/#REF!))</f>
        <v>#REF!</v>
      </c>
      <c r="I42" s="43"/>
      <c r="J42" s="43"/>
      <c r="K42" s="43"/>
      <c r="L42" s="43"/>
      <c r="M42" s="58"/>
    </row>
    <row r="43" s="2" customFormat="1" ht="15" customHeight="1" outlineLevel="1" spans="1:13">
      <c r="A43" s="19" t="s">
        <v>622</v>
      </c>
      <c r="B43" s="45" t="s">
        <v>2345</v>
      </c>
      <c r="C43" s="22" t="s">
        <v>862</v>
      </c>
      <c r="D43" s="47">
        <v>1.3</v>
      </c>
      <c r="E43" s="23" t="e">
        <f>#REF!</f>
        <v>#REF!</v>
      </c>
      <c r="F43" s="83">
        <v>35</v>
      </c>
      <c r="G43" s="28" t="e">
        <f t="shared" si="5"/>
        <v>#REF!</v>
      </c>
      <c r="H43" s="28" t="e">
        <f>IF(G43=0,"",IF(#REF!=0,"",G43*10000/#REF!))</f>
        <v>#REF!</v>
      </c>
      <c r="I43" s="43"/>
      <c r="J43" s="43"/>
      <c r="K43" s="43"/>
      <c r="L43" s="43"/>
      <c r="M43" s="58"/>
    </row>
    <row r="44" s="2" customFormat="1" ht="15" customHeight="1" outlineLevel="1" spans="1:13">
      <c r="A44" s="19" t="s">
        <v>622</v>
      </c>
      <c r="B44" s="45" t="s">
        <v>2306</v>
      </c>
      <c r="C44" s="21" t="s">
        <v>505</v>
      </c>
      <c r="D44" s="47">
        <v>1</v>
      </c>
      <c r="E44" s="23" t="e">
        <f>#REF!</f>
        <v>#REF!</v>
      </c>
      <c r="F44" s="82">
        <v>45</v>
      </c>
      <c r="G44" s="28" t="e">
        <f t="shared" si="5"/>
        <v>#REF!</v>
      </c>
      <c r="H44" s="28" t="e">
        <f>IF(G44=0,"",IF(#REF!=0,"",G44*10000/#REF!))</f>
        <v>#REF!</v>
      </c>
      <c r="I44" s="43"/>
      <c r="J44" s="43"/>
      <c r="K44" s="43"/>
      <c r="L44" s="43"/>
      <c r="M44" s="58"/>
    </row>
    <row r="45" s="2" customFormat="1" ht="15" customHeight="1" outlineLevel="1" spans="1:13">
      <c r="A45" s="19" t="s">
        <v>622</v>
      </c>
      <c r="B45" s="45" t="s">
        <v>2346</v>
      </c>
      <c r="C45" s="21" t="s">
        <v>505</v>
      </c>
      <c r="D45" s="47">
        <v>0.8</v>
      </c>
      <c r="E45" s="23" t="e">
        <f>#REF!</f>
        <v>#REF!</v>
      </c>
      <c r="F45" s="83">
        <v>100</v>
      </c>
      <c r="G45" s="28" t="e">
        <f t="shared" si="5"/>
        <v>#REF!</v>
      </c>
      <c r="H45" s="28" t="e">
        <f>IF(G45=0,"",IF(#REF!=0,"",G45*10000/#REF!))</f>
        <v>#REF!</v>
      </c>
      <c r="I45" s="43"/>
      <c r="J45" s="43"/>
      <c r="K45" s="43"/>
      <c r="L45" s="43"/>
      <c r="M45" s="58"/>
    </row>
    <row r="46" s="2" customFormat="1" ht="15" customHeight="1" spans="1:13">
      <c r="A46" s="1825" t="s">
        <v>2347</v>
      </c>
      <c r="B46" s="15" t="s">
        <v>1705</v>
      </c>
      <c r="C46" s="16"/>
      <c r="D46" s="16">
        <v>1</v>
      </c>
      <c r="E46" s="23" t="e">
        <f>#REF!</f>
        <v>#REF!</v>
      </c>
      <c r="F46" s="81">
        <v>1500</v>
      </c>
      <c r="G46" s="18" t="e">
        <f>D46*E46*F46/10000</f>
        <v>#REF!</v>
      </c>
      <c r="H46" s="18" t="e">
        <f>IF(G46=0,"",IF(#REF!=0,"",G46*10000/#REF!))</f>
        <v>#REF!</v>
      </c>
      <c r="I46" s="57"/>
      <c r="J46" s="57"/>
      <c r="K46" s="57"/>
      <c r="L46" s="57"/>
      <c r="M46" s="58"/>
    </row>
    <row r="47" s="2" customFormat="1" ht="15" customHeight="1" spans="1:13">
      <c r="A47" s="10" t="s">
        <v>2348</v>
      </c>
      <c r="B47" s="11" t="s">
        <v>2349</v>
      </c>
      <c r="C47" s="12"/>
      <c r="D47" s="12"/>
      <c r="E47" s="48"/>
      <c r="F47" s="12"/>
      <c r="G47" s="13" t="e">
        <f>G48+G59+G63</f>
        <v>#REF!</v>
      </c>
      <c r="H47" s="13" t="e">
        <f>IF(G47=0,"",IF(#REF!=0,"",G47*10000/#REF!))</f>
        <v>#REF!</v>
      </c>
      <c r="I47" s="55"/>
      <c r="J47" s="55"/>
      <c r="K47" s="55"/>
      <c r="L47" s="55"/>
      <c r="M47" s="63"/>
    </row>
    <row r="48" s="2" customFormat="1" ht="15" customHeight="1" spans="1:13">
      <c r="A48" s="1825" t="s">
        <v>2247</v>
      </c>
      <c r="B48" s="15" t="s">
        <v>2279</v>
      </c>
      <c r="C48" s="16"/>
      <c r="D48" s="16"/>
      <c r="E48" s="17"/>
      <c r="F48" s="16"/>
      <c r="G48" s="18" t="e">
        <f>G49+G54</f>
        <v>#REF!</v>
      </c>
      <c r="H48" s="18" t="e">
        <f>IF(G48=0,"",IF(#REF!=0,"",G48*10000/#REF!))</f>
        <v>#REF!</v>
      </c>
      <c r="I48" s="57"/>
      <c r="J48" s="57"/>
      <c r="K48" s="57"/>
      <c r="L48" s="57"/>
      <c r="M48" s="58"/>
    </row>
    <row r="49" s="2" customFormat="1" ht="15" customHeight="1" outlineLevel="1" spans="1:13">
      <c r="A49" s="19" t="s">
        <v>622</v>
      </c>
      <c r="B49" s="20" t="s">
        <v>2280</v>
      </c>
      <c r="C49" s="22" t="s">
        <v>505</v>
      </c>
      <c r="D49" s="49"/>
      <c r="E49" s="23"/>
      <c r="F49" s="22"/>
      <c r="G49" s="28" t="e">
        <f>SUM(G50:G52)</f>
        <v>#REF!</v>
      </c>
      <c r="H49" s="28" t="e">
        <f>IF(G49=0,"",IF(#REF!=0,"",G49*10000/#REF!))</f>
        <v>#REF!</v>
      </c>
      <c r="I49" s="43"/>
      <c r="J49" s="43"/>
      <c r="K49" s="43"/>
      <c r="L49" s="43"/>
      <c r="M49" s="58"/>
    </row>
    <row r="50" s="2" customFormat="1" ht="15" customHeight="1" outlineLevel="1" spans="1:13">
      <c r="A50" s="19"/>
      <c r="B50" s="45" t="s">
        <v>2477</v>
      </c>
      <c r="C50" s="21" t="s">
        <v>505</v>
      </c>
      <c r="D50" s="21">
        <v>1</v>
      </c>
      <c r="E50" s="23" t="e">
        <f>#REF!</f>
        <v>#REF!</v>
      </c>
      <c r="F50" s="22">
        <v>200</v>
      </c>
      <c r="G50" s="28" t="e">
        <f t="shared" ref="G50:G58" si="6">D50*E50*F50/10000</f>
        <v>#REF!</v>
      </c>
      <c r="H50" s="28"/>
      <c r="I50" s="43"/>
      <c r="J50" s="43"/>
      <c r="K50" s="43"/>
      <c r="L50" s="43"/>
      <c r="M50" s="58"/>
    </row>
    <row r="51" s="2" customFormat="1" ht="15" customHeight="1" outlineLevel="1" spans="1:13">
      <c r="A51" s="19"/>
      <c r="B51" s="45" t="s">
        <v>2478</v>
      </c>
      <c r="C51" s="21" t="s">
        <v>505</v>
      </c>
      <c r="D51" s="21">
        <v>1</v>
      </c>
      <c r="E51" s="23" t="e">
        <f>#REF!</f>
        <v>#REF!</v>
      </c>
      <c r="F51" s="22">
        <v>5</v>
      </c>
      <c r="G51" s="28" t="e">
        <f t="shared" si="6"/>
        <v>#REF!</v>
      </c>
      <c r="H51" s="28"/>
      <c r="I51" s="43"/>
      <c r="J51" s="43"/>
      <c r="K51" s="43"/>
      <c r="L51" s="43"/>
      <c r="M51" s="58"/>
    </row>
    <row r="52" s="2" customFormat="1" ht="15" customHeight="1" outlineLevel="1" spans="1:13">
      <c r="A52" s="19"/>
      <c r="B52" s="45" t="s">
        <v>2479</v>
      </c>
      <c r="C52" s="21" t="s">
        <v>505</v>
      </c>
      <c r="D52" s="21">
        <v>1</v>
      </c>
      <c r="E52" s="23" t="e">
        <f>#REF!</f>
        <v>#REF!</v>
      </c>
      <c r="F52" s="22">
        <v>5</v>
      </c>
      <c r="G52" s="28" t="e">
        <f t="shared" si="6"/>
        <v>#REF!</v>
      </c>
      <c r="H52" s="28"/>
      <c r="I52" s="43"/>
      <c r="J52" s="43"/>
      <c r="K52" s="43"/>
      <c r="L52" s="43"/>
      <c r="M52" s="58"/>
    </row>
    <row r="53" s="2" customFormat="1" ht="15" customHeight="1" outlineLevel="1" spans="1:13">
      <c r="A53" s="19" t="s">
        <v>622</v>
      </c>
      <c r="B53" s="20" t="s">
        <v>2284</v>
      </c>
      <c r="C53" s="21" t="s">
        <v>505</v>
      </c>
      <c r="D53" s="21"/>
      <c r="E53" s="23"/>
      <c r="F53" s="22"/>
      <c r="G53" s="28">
        <f t="shared" si="6"/>
        <v>0</v>
      </c>
      <c r="H53" s="28"/>
      <c r="I53" s="43"/>
      <c r="J53" s="43"/>
      <c r="K53" s="43"/>
      <c r="L53" s="43"/>
      <c r="M53" s="58"/>
    </row>
    <row r="54" s="2" customFormat="1" ht="15" customHeight="1" outlineLevel="1" spans="1:13">
      <c r="A54" s="19" t="s">
        <v>622</v>
      </c>
      <c r="B54" s="20" t="s">
        <v>2285</v>
      </c>
      <c r="C54" s="22" t="s">
        <v>505</v>
      </c>
      <c r="D54" s="49"/>
      <c r="E54" s="23"/>
      <c r="F54" s="22"/>
      <c r="G54" s="28" t="e">
        <f>SUM(G55:G58)</f>
        <v>#REF!</v>
      </c>
      <c r="H54" s="28" t="e">
        <f>IF(G54=0,"",IF(#REF!=0,"",G54*10000/#REF!))</f>
        <v>#REF!</v>
      </c>
      <c r="I54" s="43"/>
      <c r="J54" s="43"/>
      <c r="K54" s="43"/>
      <c r="L54" s="43"/>
      <c r="M54" s="58"/>
    </row>
    <row r="55" s="2" customFormat="1" ht="16.5" customHeight="1" outlineLevel="1" spans="1:13">
      <c r="A55" s="19"/>
      <c r="B55" s="45" t="s">
        <v>2356</v>
      </c>
      <c r="C55" s="21" t="s">
        <v>505</v>
      </c>
      <c r="D55" s="21">
        <v>1</v>
      </c>
      <c r="E55" s="23" t="e">
        <f>#REF!</f>
        <v>#REF!</v>
      </c>
      <c r="F55" s="22">
        <v>300</v>
      </c>
      <c r="G55" s="28" t="e">
        <f t="shared" si="6"/>
        <v>#REF!</v>
      </c>
      <c r="H55" s="28"/>
      <c r="I55" s="43"/>
      <c r="J55" s="43"/>
      <c r="K55" s="43"/>
      <c r="L55" s="43"/>
      <c r="M55" s="58"/>
    </row>
    <row r="56" s="2" customFormat="1" ht="15" customHeight="1" outlineLevel="1" spans="1:13">
      <c r="A56" s="19"/>
      <c r="B56" s="45" t="s">
        <v>2480</v>
      </c>
      <c r="C56" s="21" t="s">
        <v>505</v>
      </c>
      <c r="D56" s="21">
        <v>1</v>
      </c>
      <c r="E56" s="23" t="e">
        <f>#REF!</f>
        <v>#REF!</v>
      </c>
      <c r="F56" s="22">
        <v>10</v>
      </c>
      <c r="G56" s="28" t="e">
        <f t="shared" si="6"/>
        <v>#REF!</v>
      </c>
      <c r="H56" s="28"/>
      <c r="I56" s="43"/>
      <c r="J56" s="43"/>
      <c r="K56" s="43"/>
      <c r="L56" s="43"/>
      <c r="M56" s="58"/>
    </row>
    <row r="57" s="2" customFormat="1" ht="15" customHeight="1" outlineLevel="1" spans="1:13">
      <c r="A57" s="19"/>
      <c r="B57" s="45" t="s">
        <v>2481</v>
      </c>
      <c r="C57" s="21" t="s">
        <v>505</v>
      </c>
      <c r="D57" s="21">
        <v>1</v>
      </c>
      <c r="E57" s="23" t="e">
        <f>#REF!</f>
        <v>#REF!</v>
      </c>
      <c r="F57" s="22">
        <v>20</v>
      </c>
      <c r="G57" s="28" t="e">
        <f t="shared" si="6"/>
        <v>#REF!</v>
      </c>
      <c r="H57" s="28"/>
      <c r="I57" s="43"/>
      <c r="J57" s="43"/>
      <c r="K57" s="43"/>
      <c r="L57" s="43"/>
      <c r="M57" s="74"/>
    </row>
    <row r="58" s="2" customFormat="1" ht="15" customHeight="1" outlineLevel="1" spans="1:13">
      <c r="A58" s="19"/>
      <c r="B58" s="45" t="s">
        <v>2358</v>
      </c>
      <c r="C58" s="21" t="s">
        <v>505</v>
      </c>
      <c r="D58" s="21">
        <v>1</v>
      </c>
      <c r="E58" s="23" t="e">
        <f>#REF!</f>
        <v>#REF!</v>
      </c>
      <c r="F58" s="84">
        <v>10</v>
      </c>
      <c r="G58" s="28" t="e">
        <f t="shared" si="6"/>
        <v>#REF!</v>
      </c>
      <c r="H58" s="28"/>
      <c r="I58" s="43"/>
      <c r="J58" s="43"/>
      <c r="K58" s="43"/>
      <c r="L58" s="43"/>
      <c r="M58" s="58"/>
    </row>
    <row r="59" s="2" customFormat="1" ht="15" customHeight="1" spans="1:13">
      <c r="A59" s="1825" t="s">
        <v>2257</v>
      </c>
      <c r="B59" s="15" t="s">
        <v>2291</v>
      </c>
      <c r="C59" s="16"/>
      <c r="D59" s="16"/>
      <c r="E59" s="17"/>
      <c r="F59" s="81"/>
      <c r="G59" s="18" t="e">
        <f>G60+G61+G62</f>
        <v>#REF!</v>
      </c>
      <c r="H59" s="18" t="e">
        <f>IF(G59=0,"",IF(#REF!=0,"",G59*10000/#REF!))</f>
        <v>#REF!</v>
      </c>
      <c r="I59" s="57"/>
      <c r="J59" s="57"/>
      <c r="K59" s="57"/>
      <c r="L59" s="57"/>
      <c r="M59" s="58"/>
    </row>
    <row r="60" s="2" customFormat="1" ht="15" customHeight="1" outlineLevel="1" spans="1:13">
      <c r="A60" s="19" t="s">
        <v>622</v>
      </c>
      <c r="B60" s="20" t="s">
        <v>2293</v>
      </c>
      <c r="C60" s="66" t="s">
        <v>602</v>
      </c>
      <c r="D60" s="21">
        <v>1</v>
      </c>
      <c r="E60" s="23" t="e">
        <f>#REF!</f>
        <v>#REF!</v>
      </c>
      <c r="F60" s="79">
        <v>120</v>
      </c>
      <c r="G60" s="28" t="e">
        <f t="shared" ref="G60:G66" si="7">E60*F60/10000</f>
        <v>#REF!</v>
      </c>
      <c r="H60" s="28"/>
      <c r="I60" s="43"/>
      <c r="J60" s="43"/>
      <c r="K60" s="43"/>
      <c r="L60" s="43"/>
      <c r="M60" s="58"/>
    </row>
    <row r="61" s="2" customFormat="1" ht="15" customHeight="1" outlineLevel="1" spans="1:13">
      <c r="A61" s="19" t="s">
        <v>622</v>
      </c>
      <c r="B61" s="20" t="s">
        <v>2292</v>
      </c>
      <c r="C61" s="66"/>
      <c r="D61" s="21">
        <v>1</v>
      </c>
      <c r="E61" s="23" t="e">
        <f>#REF!</f>
        <v>#REF!</v>
      </c>
      <c r="F61" s="85">
        <v>900</v>
      </c>
      <c r="G61" s="28" t="e">
        <f t="shared" si="7"/>
        <v>#REF!</v>
      </c>
      <c r="H61" s="28"/>
      <c r="I61" s="43"/>
      <c r="J61" s="43"/>
      <c r="K61" s="43"/>
      <c r="L61" s="43"/>
      <c r="M61" s="58"/>
    </row>
    <row r="62" s="2" customFormat="1" ht="15" customHeight="1" outlineLevel="1" spans="1:13">
      <c r="A62" s="19" t="s">
        <v>622</v>
      </c>
      <c r="B62" s="20" t="s">
        <v>2295</v>
      </c>
      <c r="C62" s="22" t="s">
        <v>505</v>
      </c>
      <c r="D62" s="21">
        <v>1</v>
      </c>
      <c r="E62" s="23" t="e">
        <f>#REF!</f>
        <v>#REF!</v>
      </c>
      <c r="F62" s="85">
        <v>230</v>
      </c>
      <c r="G62" s="28" t="e">
        <f>D62*E62*F62/10000</f>
        <v>#REF!</v>
      </c>
      <c r="H62" s="28"/>
      <c r="I62" s="43"/>
      <c r="J62" s="43"/>
      <c r="K62" s="43"/>
      <c r="L62" s="43"/>
      <c r="M62" s="58"/>
    </row>
    <row r="63" s="2" customFormat="1" ht="15" customHeight="1" spans="1:13">
      <c r="A63" s="1825" t="s">
        <v>2362</v>
      </c>
      <c r="B63" s="15" t="s">
        <v>2363</v>
      </c>
      <c r="C63" s="16"/>
      <c r="D63" s="16"/>
      <c r="E63" s="17"/>
      <c r="F63" s="81"/>
      <c r="G63" s="18" t="e">
        <f>SUM(G64:G66)</f>
        <v>#REF!</v>
      </c>
      <c r="H63" s="18" t="e">
        <f>IF(G63=0,"",IF(#REF!=0,"",G63*10000/#REF!))</f>
        <v>#REF!</v>
      </c>
      <c r="I63" s="57"/>
      <c r="J63" s="57"/>
      <c r="K63" s="57"/>
      <c r="L63" s="57"/>
      <c r="M63" s="74"/>
    </row>
    <row r="64" s="2" customFormat="1" ht="15" customHeight="1" outlineLevel="1" spans="1:13">
      <c r="A64" s="19" t="s">
        <v>622</v>
      </c>
      <c r="B64" s="20" t="s">
        <v>2365</v>
      </c>
      <c r="C64" s="66" t="s">
        <v>601</v>
      </c>
      <c r="D64" s="21">
        <v>1</v>
      </c>
      <c r="E64" s="23" t="e">
        <f>#REF!</f>
        <v>#REF!</v>
      </c>
      <c r="F64" s="86">
        <v>200</v>
      </c>
      <c r="G64" s="28" t="e">
        <f t="shared" si="7"/>
        <v>#REF!</v>
      </c>
      <c r="H64" s="28" t="e">
        <f>IF(G64=0,"",IF(#REF!=0,"",G64*10000/#REF!))</f>
        <v>#REF!</v>
      </c>
      <c r="I64" s="43"/>
      <c r="J64" s="43"/>
      <c r="K64" s="43"/>
      <c r="L64" s="43"/>
      <c r="M64" s="58"/>
    </row>
    <row r="65" s="2" customFormat="1" ht="15" customHeight="1" outlineLevel="1" spans="1:13">
      <c r="A65" s="19" t="s">
        <v>622</v>
      </c>
      <c r="B65" s="20" t="s">
        <v>2367</v>
      </c>
      <c r="C65" s="66" t="s">
        <v>601</v>
      </c>
      <c r="D65" s="21">
        <v>1</v>
      </c>
      <c r="E65" s="23"/>
      <c r="F65" s="79"/>
      <c r="G65" s="28">
        <f t="shared" si="7"/>
        <v>0</v>
      </c>
      <c r="H65" s="28" t="str">
        <f>IF(G65=0,"",IF(#REF!=0,"",G65*10000/#REF!))</f>
        <v/>
      </c>
      <c r="I65" s="43"/>
      <c r="J65" s="43"/>
      <c r="K65" s="43"/>
      <c r="L65" s="43"/>
      <c r="M65" s="58"/>
    </row>
    <row r="66" s="2" customFormat="1" ht="15" customHeight="1" outlineLevel="1" spans="1:13">
      <c r="A66" s="68" t="s">
        <v>622</v>
      </c>
      <c r="B66" s="69" t="s">
        <v>2368</v>
      </c>
      <c r="C66" s="70" t="s">
        <v>601</v>
      </c>
      <c r="D66" s="71"/>
      <c r="E66" s="72"/>
      <c r="F66" s="71"/>
      <c r="G66" s="73">
        <f t="shared" si="7"/>
        <v>0</v>
      </c>
      <c r="H66" s="73" t="s">
        <v>511</v>
      </c>
      <c r="I66" s="75"/>
      <c r="J66" s="75"/>
      <c r="K66" s="75"/>
      <c r="L66" s="75"/>
      <c r="M66" s="76"/>
    </row>
  </sheetData>
  <mergeCells count="1">
    <mergeCell ref="C1:E1"/>
  </mergeCells>
  <pageMargins left="0.75" right="0.75" top="1" bottom="1" header="0.5" footer="0.5"/>
  <pageSetup paperSize="9" orientation="portrait"/>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8"/>
  <sheetViews>
    <sheetView topLeftCell="A16" workbookViewId="0">
      <selection activeCell="A6" sqref="A6"/>
    </sheetView>
  </sheetViews>
  <sheetFormatPr defaultColWidth="8.6" defaultRowHeight="15.75" outlineLevelCol="2"/>
  <cols>
    <col min="1" max="1" width="13.6" style="1710" customWidth="1"/>
    <col min="2" max="2" width="19.1" style="1710" customWidth="1"/>
    <col min="3" max="3" width="29.4" style="1710" customWidth="1"/>
    <col min="4" max="4" width="12.4" style="1710" customWidth="1"/>
    <col min="5" max="16384" width="8.6" style="1710"/>
  </cols>
  <sheetData>
    <row r="1" ht="18.75" spans="1:3">
      <c r="A1" s="1711" t="s">
        <v>139</v>
      </c>
      <c r="B1" s="1711"/>
      <c r="C1" s="1711"/>
    </row>
    <row r="3" s="1709" customFormat="1" ht="12.75" spans="1:1">
      <c r="A3" s="1712" t="s">
        <v>140</v>
      </c>
    </row>
    <row r="4" s="1709" customFormat="1" ht="12.75"/>
    <row r="5" s="1709" customFormat="1" ht="12.75" spans="1:1">
      <c r="A5" s="1712" t="s">
        <v>141</v>
      </c>
    </row>
    <row r="6" s="1709" customFormat="1" ht="12.75" spans="1:1">
      <c r="A6" s="1709" t="s">
        <v>142</v>
      </c>
    </row>
    <row r="7" s="1709" customFormat="1" ht="12.75" spans="1:1">
      <c r="A7" s="1709" t="s">
        <v>143</v>
      </c>
    </row>
    <row r="8" s="1709" customFormat="1" ht="12.75" spans="1:1">
      <c r="A8" s="1709" t="s">
        <v>144</v>
      </c>
    </row>
    <row r="9" s="1709" customFormat="1" ht="12.75" spans="1:1">
      <c r="A9" s="1709" t="s">
        <v>145</v>
      </c>
    </row>
    <row r="10" s="1709" customFormat="1" ht="12.75" spans="1:1">
      <c r="A10" s="1709" t="s">
        <v>146</v>
      </c>
    </row>
    <row r="11" s="1709" customFormat="1" ht="12.75" spans="1:1">
      <c r="A11" s="1709" t="s">
        <v>147</v>
      </c>
    </row>
    <row r="12" s="1709" customFormat="1" ht="12.75" spans="1:1">
      <c r="A12" s="1709" t="s">
        <v>148</v>
      </c>
    </row>
    <row r="13" s="1709" customFormat="1" ht="12.75" spans="1:1">
      <c r="A13" s="1709" t="s">
        <v>149</v>
      </c>
    </row>
    <row r="14" s="1709" customFormat="1" ht="12.75" spans="1:1">
      <c r="A14" s="1712" t="s">
        <v>150</v>
      </c>
    </row>
    <row r="15" s="1709" customFormat="1" ht="14.25" customHeight="1"/>
    <row r="16" spans="1:1">
      <c r="A16" s="1712" t="s">
        <v>151</v>
      </c>
    </row>
    <row r="17" s="1709" customFormat="1" ht="12.75" spans="1:1">
      <c r="A17" s="1712" t="s">
        <v>152</v>
      </c>
    </row>
    <row r="18" s="1709" customFormat="1" ht="12.75" spans="1:1">
      <c r="A18" s="1712" t="s">
        <v>153</v>
      </c>
    </row>
    <row r="19" s="1709" customFormat="1" ht="12.75" spans="1:1">
      <c r="A19" s="1712" t="s">
        <v>154</v>
      </c>
    </row>
    <row r="20" s="1709" customFormat="1" ht="12.75" spans="1:1">
      <c r="A20" s="1712" t="s">
        <v>155</v>
      </c>
    </row>
    <row r="21" s="1709" customFormat="1" ht="12.75" spans="1:1">
      <c r="A21" s="1712" t="s">
        <v>156</v>
      </c>
    </row>
    <row r="22" s="1709" customFormat="1" ht="12.75" spans="1:1">
      <c r="A22" s="1712" t="s">
        <v>157</v>
      </c>
    </row>
    <row r="23" s="1709" customFormat="1" ht="12.75" spans="1:1">
      <c r="A23" s="1712" t="s">
        <v>158</v>
      </c>
    </row>
    <row r="24" s="1709" customFormat="1" ht="12.75" spans="1:1">
      <c r="A24" s="1712" t="s">
        <v>159</v>
      </c>
    </row>
    <row r="25" s="1709" customFormat="1" ht="12.75" spans="1:1">
      <c r="A25" s="1712" t="s">
        <v>160</v>
      </c>
    </row>
    <row r="26" s="1709" customFormat="1" ht="12.75" spans="1:1">
      <c r="A26" s="1712" t="s">
        <v>161</v>
      </c>
    </row>
    <row r="27" s="1709" customFormat="1" ht="12.75" spans="1:1">
      <c r="A27" s="1712" t="s">
        <v>162</v>
      </c>
    </row>
    <row r="28" s="1709" customFormat="1" ht="12.75" spans="1:1">
      <c r="A28" s="1712" t="s">
        <v>163</v>
      </c>
    </row>
  </sheetData>
  <mergeCells count="1">
    <mergeCell ref="A1:C1"/>
  </mergeCells>
  <pageMargins left="0.699305555555556" right="0.699305555555556" top="0.75" bottom="0.75" header="0.3" footer="0.3"/>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82"/>
  <sheetViews>
    <sheetView workbookViewId="0">
      <selection activeCell="E9" sqref="E9"/>
    </sheetView>
  </sheetViews>
  <sheetFormatPr defaultColWidth="9" defaultRowHeight="12"/>
  <cols>
    <col min="1" max="1" width="4.6" style="4" customWidth="1"/>
    <col min="2" max="2" width="21" style="4" customWidth="1"/>
    <col min="3" max="3" width="8.9" style="5" customWidth="1"/>
    <col min="4" max="4" width="5.9" style="1" customWidth="1"/>
    <col min="5" max="5" width="7.1" style="1" customWidth="1"/>
    <col min="6" max="6" width="8.1" style="1" customWidth="1"/>
    <col min="7" max="7" width="10.5" style="1" customWidth="1"/>
    <col min="8" max="8" width="9" style="1" customWidth="1"/>
    <col min="9" max="12" width="9" style="1" hidden="1" customWidth="1"/>
    <col min="13" max="13" width="23.5" style="4" customWidth="1"/>
    <col min="14" max="14" width="6.1" style="4" customWidth="1"/>
    <col min="15" max="16384" width="9" style="4"/>
  </cols>
  <sheetData>
    <row r="1" ht="16.5" customHeight="1" spans="2:5">
      <c r="B1" s="6" t="e">
        <f>#REF!</f>
        <v>#REF!</v>
      </c>
      <c r="C1" s="7" t="s">
        <v>1524</v>
      </c>
      <c r="D1" s="7"/>
      <c r="E1" s="7"/>
    </row>
    <row r="2" s="1" customFormat="1" ht="30" customHeight="1" spans="1:13">
      <c r="A2" s="8" t="s">
        <v>21</v>
      </c>
      <c r="B2" s="9" t="s">
        <v>494</v>
      </c>
      <c r="C2" s="9" t="s">
        <v>606</v>
      </c>
      <c r="D2" s="9" t="s">
        <v>1295</v>
      </c>
      <c r="E2" s="1830" t="s">
        <v>2322</v>
      </c>
      <c r="F2" s="1830" t="s">
        <v>2240</v>
      </c>
      <c r="G2" s="9" t="s">
        <v>2241</v>
      </c>
      <c r="H2" s="9" t="s">
        <v>503</v>
      </c>
      <c r="I2" s="51" t="s">
        <v>2242</v>
      </c>
      <c r="J2" s="52" t="s">
        <v>2243</v>
      </c>
      <c r="K2" s="52" t="s">
        <v>2244</v>
      </c>
      <c r="L2" s="53" t="s">
        <v>2245</v>
      </c>
      <c r="M2" s="54" t="s">
        <v>1300</v>
      </c>
    </row>
    <row r="3" s="2" customFormat="1" ht="18.75" customHeight="1" spans="1:13">
      <c r="A3" s="10" t="s">
        <v>533</v>
      </c>
      <c r="B3" s="11" t="s">
        <v>2323</v>
      </c>
      <c r="C3" s="12"/>
      <c r="D3" s="12"/>
      <c r="E3" s="12"/>
      <c r="F3" s="12"/>
      <c r="G3" s="13" t="e">
        <f>G4+G9+G41+G47+G57</f>
        <v>#REF!</v>
      </c>
      <c r="H3" s="13" t="e">
        <f>IF(G3=0,"",IF(#REF!=0,"",G3*10000/#REF!))</f>
        <v>#REF!</v>
      </c>
      <c r="I3" s="55"/>
      <c r="J3" s="55"/>
      <c r="K3" s="55"/>
      <c r="L3" s="55"/>
      <c r="M3" s="56"/>
    </row>
    <row r="4" s="2" customFormat="1" ht="15" customHeight="1" spans="1:13">
      <c r="A4" s="1825" t="s">
        <v>2247</v>
      </c>
      <c r="B4" s="15" t="s">
        <v>2248</v>
      </c>
      <c r="C4" s="16"/>
      <c r="D4" s="16"/>
      <c r="E4" s="17"/>
      <c r="F4" s="16"/>
      <c r="G4" s="18" t="e">
        <f>SUM(G5:G8)</f>
        <v>#REF!</v>
      </c>
      <c r="H4" s="18" t="e">
        <f>IF(G4=0,"",IF(#REF!=0,"",G4*10000/#REF!))</f>
        <v>#REF!</v>
      </c>
      <c r="I4" s="57"/>
      <c r="J4" s="57"/>
      <c r="K4" s="57"/>
      <c r="L4" s="57"/>
      <c r="M4" s="58"/>
    </row>
    <row r="5" s="2" customFormat="1" ht="15" customHeight="1" outlineLevel="1" spans="1:13">
      <c r="A5" s="19" t="s">
        <v>622</v>
      </c>
      <c r="B5" s="20" t="s">
        <v>2249</v>
      </c>
      <c r="C5" s="21" t="s">
        <v>167</v>
      </c>
      <c r="D5" s="22">
        <v>5</v>
      </c>
      <c r="E5" s="23" t="e">
        <f>#REF!</f>
        <v>#REF!</v>
      </c>
      <c r="F5" s="24" t="e">
        <f>#REF!</f>
        <v>#REF!</v>
      </c>
      <c r="G5" s="25" t="e">
        <f t="shared" ref="G5:G8" si="0">E5*F5*D5/10000</f>
        <v>#REF!</v>
      </c>
      <c r="H5" s="25" t="e">
        <f>IF(G5=0,"",IF(#REF!=0,"",G5*10000/#REF!))</f>
        <v>#REF!</v>
      </c>
      <c r="I5" s="59"/>
      <c r="J5" s="59"/>
      <c r="K5" s="59"/>
      <c r="L5" s="59"/>
      <c r="M5" s="58"/>
    </row>
    <row r="6" s="2" customFormat="1" ht="15" customHeight="1" outlineLevel="1" spans="1:13">
      <c r="A6" s="19" t="s">
        <v>622</v>
      </c>
      <c r="B6" s="20" t="s">
        <v>2324</v>
      </c>
      <c r="C6" s="22" t="s">
        <v>505</v>
      </c>
      <c r="D6" s="22">
        <v>1</v>
      </c>
      <c r="E6" s="23"/>
      <c r="F6" s="22"/>
      <c r="G6" s="25">
        <f t="shared" si="0"/>
        <v>0</v>
      </c>
      <c r="H6" s="25" t="s">
        <v>511</v>
      </c>
      <c r="I6" s="59"/>
      <c r="J6" s="59"/>
      <c r="K6" s="59"/>
      <c r="L6" s="59"/>
      <c r="M6" s="58"/>
    </row>
    <row r="7" s="2" customFormat="1" ht="15" customHeight="1" outlineLevel="1" spans="1:13">
      <c r="A7" s="19" t="s">
        <v>622</v>
      </c>
      <c r="B7" s="20" t="s">
        <v>2325</v>
      </c>
      <c r="C7" s="22" t="s">
        <v>505</v>
      </c>
      <c r="D7" s="22">
        <v>1</v>
      </c>
      <c r="E7" s="23" t="e">
        <f>#REF!+#REF!</f>
        <v>#REF!</v>
      </c>
      <c r="F7" s="22">
        <v>120</v>
      </c>
      <c r="G7" s="25" t="e">
        <f t="shared" si="0"/>
        <v>#REF!</v>
      </c>
      <c r="H7" s="25" t="e">
        <f>IF(G7=0,"",IF(#REF!=0,"",G7*10000/#REF!))</f>
        <v>#REF!</v>
      </c>
      <c r="I7" s="59"/>
      <c r="J7" s="59"/>
      <c r="K7" s="59"/>
      <c r="L7" s="59"/>
      <c r="M7" s="58"/>
    </row>
    <row r="8" s="2" customFormat="1" ht="15" customHeight="1" outlineLevel="1" spans="1:13">
      <c r="A8" s="19" t="s">
        <v>622</v>
      </c>
      <c r="B8" s="20" t="s">
        <v>2327</v>
      </c>
      <c r="C8" s="22" t="s">
        <v>505</v>
      </c>
      <c r="D8" s="22">
        <v>1</v>
      </c>
      <c r="E8" s="23" t="e">
        <f>#REF!+#REF!</f>
        <v>#REF!</v>
      </c>
      <c r="F8" s="22">
        <v>10</v>
      </c>
      <c r="G8" s="25" t="e">
        <f t="shared" si="0"/>
        <v>#REF!</v>
      </c>
      <c r="H8" s="25" t="e">
        <f>IF(G8=0,"",IF(#REF!=0,"",G8*10000/#REF!))</f>
        <v>#REF!</v>
      </c>
      <c r="I8" s="59"/>
      <c r="J8" s="59"/>
      <c r="K8" s="59"/>
      <c r="L8" s="59"/>
      <c r="M8" s="58"/>
    </row>
    <row r="9" s="2" customFormat="1" ht="15" customHeight="1" spans="1:13">
      <c r="A9" s="1825" t="s">
        <v>2257</v>
      </c>
      <c r="B9" s="15" t="s">
        <v>2258</v>
      </c>
      <c r="C9" s="16"/>
      <c r="D9" s="16"/>
      <c r="E9" s="17"/>
      <c r="F9" s="16"/>
      <c r="G9" s="18" t="e">
        <f>G10+G23+G24+G31+G37</f>
        <v>#REF!</v>
      </c>
      <c r="H9" s="18" t="e">
        <f>IF(G9=0,"",IF(#REF!=0,"",G9*10000/#REF!))</f>
        <v>#REF!</v>
      </c>
      <c r="I9" s="57"/>
      <c r="J9" s="57"/>
      <c r="K9" s="57"/>
      <c r="L9" s="57"/>
      <c r="M9" s="60"/>
    </row>
    <row r="10" s="2" customFormat="1" ht="15" customHeight="1" outlineLevel="1" spans="1:13">
      <c r="A10" s="26" t="s">
        <v>622</v>
      </c>
      <c r="B10" s="1826" t="s">
        <v>2259</v>
      </c>
      <c r="C10" s="22"/>
      <c r="D10" s="22"/>
      <c r="E10" s="23"/>
      <c r="F10" s="22"/>
      <c r="G10" s="28" t="e">
        <f>G11+G19</f>
        <v>#REF!</v>
      </c>
      <c r="H10" s="28" t="e">
        <f>IF(G10=0,"",IF(#REF!=0,"",G10*10000/#REF!))</f>
        <v>#REF!</v>
      </c>
      <c r="I10" s="43"/>
      <c r="J10" s="43"/>
      <c r="K10" s="43"/>
      <c r="L10" s="43"/>
      <c r="M10" s="58"/>
    </row>
    <row r="11" s="3" customFormat="1" ht="15" customHeight="1" outlineLevel="1" spans="1:13">
      <c r="A11" s="26"/>
      <c r="B11" s="29" t="s">
        <v>2515</v>
      </c>
      <c r="C11" s="30"/>
      <c r="D11" s="31"/>
      <c r="E11" s="31"/>
      <c r="F11" s="32"/>
      <c r="G11" s="33" t="e">
        <f>SUM(G12:G18)</f>
        <v>#REF!</v>
      </c>
      <c r="H11" s="33" t="e">
        <f>IF(G11=0,"",IF(#REF!=0,"",G11*10000/#REF!))</f>
        <v>#REF!</v>
      </c>
      <c r="I11" s="61"/>
      <c r="M11" s="60"/>
    </row>
    <row r="12" s="3" customFormat="1" ht="15" customHeight="1" outlineLevel="1" spans="1:13">
      <c r="A12" s="26"/>
      <c r="B12" s="34" t="s">
        <v>1536</v>
      </c>
      <c r="C12" s="35" t="s">
        <v>505</v>
      </c>
      <c r="D12" s="22">
        <v>0.55</v>
      </c>
      <c r="E12" s="23" t="e">
        <f>#REF!+100*#REF!</f>
        <v>#REF!</v>
      </c>
      <c r="F12" s="36">
        <v>410</v>
      </c>
      <c r="G12" s="37" t="e">
        <f t="shared" ref="G12:G18" si="1">E12*F12*D12/10000</f>
        <v>#REF!</v>
      </c>
      <c r="H12" s="37"/>
      <c r="I12" s="61"/>
      <c r="M12" s="58"/>
    </row>
    <row r="13" s="3" customFormat="1" ht="15" customHeight="1" outlineLevel="1" spans="1:13">
      <c r="A13" s="26"/>
      <c r="B13" s="34" t="s">
        <v>1543</v>
      </c>
      <c r="C13" s="35" t="s">
        <v>505</v>
      </c>
      <c r="D13" s="22">
        <v>65</v>
      </c>
      <c r="E13" s="23" t="e">
        <f t="shared" ref="E13:E18" si="2">E12</f>
        <v>#REF!</v>
      </c>
      <c r="F13" s="36">
        <v>5.9</v>
      </c>
      <c r="G13" s="37" t="e">
        <f t="shared" si="1"/>
        <v>#REF!</v>
      </c>
      <c r="H13" s="37"/>
      <c r="I13" s="58"/>
      <c r="M13" s="60"/>
    </row>
    <row r="14" s="3" customFormat="1" ht="15" customHeight="1" outlineLevel="1" spans="1:13">
      <c r="A14" s="26"/>
      <c r="B14" s="34" t="s">
        <v>1550</v>
      </c>
      <c r="C14" s="35" t="s">
        <v>505</v>
      </c>
      <c r="D14" s="22">
        <v>3</v>
      </c>
      <c r="E14" s="23" t="e">
        <f t="shared" si="2"/>
        <v>#REF!</v>
      </c>
      <c r="F14" s="36">
        <v>50</v>
      </c>
      <c r="G14" s="37" t="e">
        <f t="shared" si="1"/>
        <v>#REF!</v>
      </c>
      <c r="H14" s="37"/>
      <c r="I14" s="61"/>
      <c r="M14" s="58"/>
    </row>
    <row r="15" s="3" customFormat="1" ht="15" customHeight="1" outlineLevel="1" spans="1:13">
      <c r="A15" s="26"/>
      <c r="B15" s="34" t="s">
        <v>1564</v>
      </c>
      <c r="C15" s="35" t="s">
        <v>505</v>
      </c>
      <c r="D15" s="22">
        <v>3</v>
      </c>
      <c r="E15" s="23" t="e">
        <f t="shared" si="2"/>
        <v>#REF!</v>
      </c>
      <c r="F15" s="36">
        <v>22</v>
      </c>
      <c r="G15" s="37" t="e">
        <f t="shared" si="1"/>
        <v>#REF!</v>
      </c>
      <c r="H15" s="37"/>
      <c r="I15" s="61"/>
      <c r="M15" s="60"/>
    </row>
    <row r="16" s="3" customFormat="1" ht="15" customHeight="1" outlineLevel="1" spans="1:13">
      <c r="A16" s="26"/>
      <c r="B16" s="34" t="s">
        <v>1552</v>
      </c>
      <c r="C16" s="35" t="s">
        <v>505</v>
      </c>
      <c r="D16" s="22">
        <v>0.2</v>
      </c>
      <c r="E16" s="23" t="e">
        <f t="shared" si="2"/>
        <v>#REF!</v>
      </c>
      <c r="F16" s="36">
        <v>600</v>
      </c>
      <c r="G16" s="37" t="e">
        <f t="shared" si="1"/>
        <v>#REF!</v>
      </c>
      <c r="H16" s="37"/>
      <c r="I16" s="61"/>
      <c r="M16" s="58"/>
    </row>
    <row r="17" s="3" customFormat="1" ht="15" customHeight="1" outlineLevel="1" spans="1:13">
      <c r="A17" s="26"/>
      <c r="B17" s="34" t="s">
        <v>2266</v>
      </c>
      <c r="C17" s="35" t="s">
        <v>505</v>
      </c>
      <c r="D17" s="22">
        <v>2</v>
      </c>
      <c r="E17" s="23" t="e">
        <f t="shared" si="2"/>
        <v>#REF!</v>
      </c>
      <c r="F17" s="36">
        <v>50</v>
      </c>
      <c r="G17" s="37" t="e">
        <f t="shared" si="1"/>
        <v>#REF!</v>
      </c>
      <c r="H17" s="37"/>
      <c r="I17" s="61"/>
      <c r="M17" s="60"/>
    </row>
    <row r="18" s="3" customFormat="1" ht="15" customHeight="1" outlineLevel="1" spans="1:13">
      <c r="A18" s="26"/>
      <c r="B18" s="34" t="s">
        <v>2516</v>
      </c>
      <c r="C18" s="35" t="s">
        <v>505</v>
      </c>
      <c r="D18" s="22">
        <v>3</v>
      </c>
      <c r="E18" s="23" t="e">
        <f t="shared" si="2"/>
        <v>#REF!</v>
      </c>
      <c r="F18" s="36">
        <v>20</v>
      </c>
      <c r="G18" s="37" t="e">
        <f t="shared" si="1"/>
        <v>#REF!</v>
      </c>
      <c r="H18" s="37"/>
      <c r="I18" s="61"/>
      <c r="M18" s="58"/>
    </row>
    <row r="19" s="3" customFormat="1" ht="15" customHeight="1" outlineLevel="1" spans="1:13">
      <c r="A19" s="26"/>
      <c r="B19" s="29" t="s">
        <v>2517</v>
      </c>
      <c r="C19" s="30"/>
      <c r="D19" s="31"/>
      <c r="E19" s="31"/>
      <c r="F19" s="32"/>
      <c r="G19" s="33" t="e">
        <f>SUM(G20:G22)</f>
        <v>#REF!</v>
      </c>
      <c r="H19" s="33" t="e">
        <f>IF(G19=0,"",IF(#REF!=0,"",G19*10000/#REF!))</f>
        <v>#REF!</v>
      </c>
      <c r="I19" s="61"/>
      <c r="M19" s="60"/>
    </row>
    <row r="20" s="2" customFormat="1" ht="15" customHeight="1" outlineLevel="1" spans="1:13">
      <c r="A20" s="26"/>
      <c r="B20" s="34" t="s">
        <v>2530</v>
      </c>
      <c r="C20" s="22" t="s">
        <v>505</v>
      </c>
      <c r="D20" s="38">
        <v>0.45</v>
      </c>
      <c r="E20" s="23" t="e">
        <f>#REF!</f>
        <v>#REF!</v>
      </c>
      <c r="F20" s="36">
        <f t="shared" ref="F20:F22" si="3">F12</f>
        <v>410</v>
      </c>
      <c r="G20" s="28" t="e">
        <f t="shared" ref="G20:G23" si="4">D20*E20*F20/10000</f>
        <v>#REF!</v>
      </c>
      <c r="H20" s="28"/>
      <c r="I20" s="43"/>
      <c r="J20" s="43"/>
      <c r="K20" s="43"/>
      <c r="L20" s="43"/>
      <c r="M20" s="58"/>
    </row>
    <row r="21" s="2" customFormat="1" ht="15" customHeight="1" outlineLevel="1" spans="1:13">
      <c r="A21" s="26"/>
      <c r="B21" s="34" t="s">
        <v>2531</v>
      </c>
      <c r="C21" s="22" t="s">
        <v>505</v>
      </c>
      <c r="D21" s="38">
        <v>50</v>
      </c>
      <c r="E21" s="23" t="e">
        <f>#REF!</f>
        <v>#REF!</v>
      </c>
      <c r="F21" s="36">
        <f t="shared" si="3"/>
        <v>5.9</v>
      </c>
      <c r="G21" s="28" t="e">
        <f t="shared" si="4"/>
        <v>#REF!</v>
      </c>
      <c r="H21" s="28"/>
      <c r="I21" s="43"/>
      <c r="J21" s="43"/>
      <c r="K21" s="43"/>
      <c r="L21" s="43"/>
      <c r="M21" s="58"/>
    </row>
    <row r="22" s="2" customFormat="1" ht="15" customHeight="1" outlineLevel="1" spans="1:13">
      <c r="A22" s="26"/>
      <c r="B22" s="34" t="s">
        <v>2532</v>
      </c>
      <c r="C22" s="22" t="s">
        <v>505</v>
      </c>
      <c r="D22" s="38">
        <v>3.5</v>
      </c>
      <c r="E22" s="23" t="e">
        <f>#REF!</f>
        <v>#REF!</v>
      </c>
      <c r="F22" s="36">
        <f t="shared" si="3"/>
        <v>50</v>
      </c>
      <c r="G22" s="28" t="e">
        <f t="shared" si="4"/>
        <v>#REF!</v>
      </c>
      <c r="H22" s="28"/>
      <c r="I22" s="43"/>
      <c r="J22" s="43"/>
      <c r="K22" s="43"/>
      <c r="L22" s="43"/>
      <c r="M22" s="58"/>
    </row>
    <row r="23" s="2" customFormat="1" ht="15" customHeight="1" outlineLevel="1" spans="1:13">
      <c r="A23" s="26" t="s">
        <v>622</v>
      </c>
      <c r="B23" s="1828" t="s">
        <v>1552</v>
      </c>
      <c r="C23" s="22" t="s">
        <v>505</v>
      </c>
      <c r="D23" s="38">
        <v>0.24</v>
      </c>
      <c r="E23" s="23" t="e">
        <f>#REF!</f>
        <v>#REF!</v>
      </c>
      <c r="F23" s="36" t="e">
        <f>#REF!</f>
        <v>#REF!</v>
      </c>
      <c r="G23" s="28" t="e">
        <f t="shared" si="4"/>
        <v>#REF!</v>
      </c>
      <c r="H23" s="28" t="e">
        <f>IF(G23=0,"",IF(#REF!=0,"",G23*10000/#REF!))</f>
        <v>#REF!</v>
      </c>
      <c r="I23" s="43"/>
      <c r="J23" s="43"/>
      <c r="K23" s="43"/>
      <c r="L23" s="43"/>
      <c r="M23" s="58"/>
    </row>
    <row r="24" s="2" customFormat="1" ht="15" customHeight="1" outlineLevel="1" spans="1:13">
      <c r="A24" s="26" t="s">
        <v>622</v>
      </c>
      <c r="B24" s="1828" t="s">
        <v>1564</v>
      </c>
      <c r="C24" s="22"/>
      <c r="D24" s="22"/>
      <c r="E24" s="23"/>
      <c r="F24" s="22"/>
      <c r="G24" s="28" t="e">
        <f>SUM(G25:G30)</f>
        <v>#REF!</v>
      </c>
      <c r="H24" s="28" t="e">
        <f>IF(G24=0,"",IF(#REF!=0,"",G24*10000/#REF!))</f>
        <v>#REF!</v>
      </c>
      <c r="I24" s="43"/>
      <c r="J24" s="43"/>
      <c r="K24" s="43"/>
      <c r="L24" s="43"/>
      <c r="M24" s="58"/>
    </row>
    <row r="25" s="2" customFormat="1" ht="15" customHeight="1" outlineLevel="1" spans="1:13">
      <c r="A25" s="26"/>
      <c r="B25" s="1829" t="s">
        <v>1566</v>
      </c>
      <c r="C25" s="22" t="s">
        <v>505</v>
      </c>
      <c r="D25" s="40" t="e">
        <f>#REF!</f>
        <v>#REF!</v>
      </c>
      <c r="E25" s="23" t="e">
        <f>#REF!</f>
        <v>#REF!</v>
      </c>
      <c r="F25" s="36" t="e">
        <f>#REF!</f>
        <v>#REF!</v>
      </c>
      <c r="G25" s="28" t="e">
        <f>E25*F25*D25/10000</f>
        <v>#REF!</v>
      </c>
      <c r="H25" s="28"/>
      <c r="I25" s="43"/>
      <c r="J25" s="43"/>
      <c r="K25" s="43"/>
      <c r="L25" s="43"/>
      <c r="M25" s="58"/>
    </row>
    <row r="26" s="2" customFormat="1" ht="15" customHeight="1" outlineLevel="1" spans="1:13">
      <c r="A26" s="26"/>
      <c r="B26" s="34" t="s">
        <v>2261</v>
      </c>
      <c r="C26" s="22" t="s">
        <v>505</v>
      </c>
      <c r="D26" s="40">
        <v>2.3</v>
      </c>
      <c r="E26" s="23" t="e">
        <f>#REF!</f>
        <v>#REF!</v>
      </c>
      <c r="F26" s="36" t="e">
        <f>#REF!</f>
        <v>#REF!</v>
      </c>
      <c r="G26" s="28" t="e">
        <f t="shared" ref="G26:G36" si="5">E26*F26*D26/10000</f>
        <v>#REF!</v>
      </c>
      <c r="H26" s="28"/>
      <c r="I26" s="43"/>
      <c r="J26" s="43"/>
      <c r="K26" s="43"/>
      <c r="L26" s="43"/>
      <c r="M26" s="58"/>
    </row>
    <row r="27" s="2" customFormat="1" ht="15" customHeight="1" outlineLevel="1" spans="1:13">
      <c r="A27" s="26"/>
      <c r="B27" s="34" t="s">
        <v>2262</v>
      </c>
      <c r="C27" s="22" t="s">
        <v>505</v>
      </c>
      <c r="D27" s="40">
        <f>D30</f>
        <v>1.4</v>
      </c>
      <c r="E27" s="23" t="e">
        <f>#REF!</f>
        <v>#REF!</v>
      </c>
      <c r="F27" s="36" t="e">
        <f>#REF!</f>
        <v>#REF!</v>
      </c>
      <c r="G27" s="28" t="e">
        <f t="shared" si="5"/>
        <v>#REF!</v>
      </c>
      <c r="H27" s="28"/>
      <c r="I27" s="43"/>
      <c r="J27" s="43"/>
      <c r="K27" s="43"/>
      <c r="L27" s="43"/>
      <c r="M27" s="58"/>
    </row>
    <row r="28" s="2" customFormat="1" ht="15" customHeight="1" outlineLevel="1" spans="1:13">
      <c r="A28" s="26"/>
      <c r="B28" s="1829" t="s">
        <v>1572</v>
      </c>
      <c r="C28" s="22" t="s">
        <v>505</v>
      </c>
      <c r="D28" s="40" t="e">
        <f>#REF!</f>
        <v>#REF!</v>
      </c>
      <c r="E28" s="23" t="e">
        <f>#REF!</f>
        <v>#REF!</v>
      </c>
      <c r="F28" s="36" t="e">
        <f>#REF!</f>
        <v>#REF!</v>
      </c>
      <c r="G28" s="28" t="e">
        <f t="shared" si="5"/>
        <v>#REF!</v>
      </c>
      <c r="H28" s="28"/>
      <c r="I28" s="43"/>
      <c r="J28" s="43"/>
      <c r="K28" s="43"/>
      <c r="L28" s="43"/>
      <c r="M28" s="58"/>
    </row>
    <row r="29" s="2" customFormat="1" ht="15" customHeight="1" outlineLevel="1" spans="1:13">
      <c r="A29" s="26"/>
      <c r="B29" s="1829" t="s">
        <v>2342</v>
      </c>
      <c r="C29" s="22" t="s">
        <v>505</v>
      </c>
      <c r="D29" s="40">
        <v>0.8</v>
      </c>
      <c r="E29" s="23" t="e">
        <f>#REF!</f>
        <v>#REF!</v>
      </c>
      <c r="F29" s="36">
        <v>90</v>
      </c>
      <c r="G29" s="28" t="e">
        <f t="shared" si="5"/>
        <v>#REF!</v>
      </c>
      <c r="H29" s="28"/>
      <c r="I29" s="43"/>
      <c r="J29" s="43"/>
      <c r="K29" s="43"/>
      <c r="L29" s="43"/>
      <c r="M29" s="58"/>
    </row>
    <row r="30" s="2" customFormat="1" ht="15" customHeight="1" outlineLevel="1" spans="1:13">
      <c r="A30" s="26"/>
      <c r="B30" s="1829" t="s">
        <v>2533</v>
      </c>
      <c r="C30" s="22" t="s">
        <v>505</v>
      </c>
      <c r="D30" s="40">
        <v>1.4</v>
      </c>
      <c r="E30" s="23" t="e">
        <f>#REF!</f>
        <v>#REF!</v>
      </c>
      <c r="F30" s="36"/>
      <c r="G30" s="28" t="e">
        <f t="shared" si="5"/>
        <v>#REF!</v>
      </c>
      <c r="H30" s="28"/>
      <c r="I30" s="43"/>
      <c r="J30" s="43"/>
      <c r="K30" s="43"/>
      <c r="L30" s="43"/>
      <c r="M30" s="58"/>
    </row>
    <row r="31" s="2" customFormat="1" ht="15" customHeight="1" outlineLevel="1" spans="1:13">
      <c r="A31" s="26" t="s">
        <v>622</v>
      </c>
      <c r="B31" s="1828" t="s">
        <v>2266</v>
      </c>
      <c r="C31" s="22"/>
      <c r="D31" s="22"/>
      <c r="E31" s="23"/>
      <c r="F31" s="22"/>
      <c r="G31" s="28" t="e">
        <f>SUM(G32:G36)</f>
        <v>#REF!</v>
      </c>
      <c r="H31" s="28" t="e">
        <f>IF(G31=0,"",IF(#REF!=0,"",G31*10000/#REF!))</f>
        <v>#REF!</v>
      </c>
      <c r="I31" s="43"/>
      <c r="J31" s="43"/>
      <c r="K31" s="43"/>
      <c r="L31" s="43"/>
      <c r="M31" s="58"/>
    </row>
    <row r="32" s="2" customFormat="1" ht="15" customHeight="1" outlineLevel="1" spans="1:13">
      <c r="A32" s="26"/>
      <c r="B32" s="34" t="s">
        <v>2271</v>
      </c>
      <c r="C32" s="22" t="s">
        <v>505</v>
      </c>
      <c r="D32" s="22" t="e">
        <f>#REF!</f>
        <v>#REF!</v>
      </c>
      <c r="E32" s="23" t="e">
        <f>#REF!</f>
        <v>#REF!</v>
      </c>
      <c r="F32" s="36">
        <v>100</v>
      </c>
      <c r="G32" s="28" t="e">
        <f t="shared" si="5"/>
        <v>#REF!</v>
      </c>
      <c r="H32" s="28"/>
      <c r="I32" s="43"/>
      <c r="J32" s="43"/>
      <c r="K32" s="43"/>
      <c r="L32" s="43"/>
      <c r="M32" s="58"/>
    </row>
    <row r="33" s="2" customFormat="1" ht="15" customHeight="1" outlineLevel="1" spans="1:13">
      <c r="A33" s="26"/>
      <c r="B33" s="34" t="s">
        <v>2331</v>
      </c>
      <c r="C33" s="22" t="s">
        <v>505</v>
      </c>
      <c r="D33" s="22" t="e">
        <f>#REF!</f>
        <v>#REF!</v>
      </c>
      <c r="E33" s="23" t="e">
        <f>#REF!</f>
        <v>#REF!</v>
      </c>
      <c r="F33" s="36">
        <v>50</v>
      </c>
      <c r="G33" s="28" t="e">
        <f t="shared" si="5"/>
        <v>#REF!</v>
      </c>
      <c r="H33" s="28"/>
      <c r="I33" s="43"/>
      <c r="J33" s="43"/>
      <c r="K33" s="43"/>
      <c r="L33" s="43"/>
      <c r="M33" s="58"/>
    </row>
    <row r="34" s="2" customFormat="1" ht="15" customHeight="1" outlineLevel="1" spans="1:13">
      <c r="A34" s="26"/>
      <c r="B34" s="34" t="s">
        <v>2332</v>
      </c>
      <c r="C34" s="22" t="s">
        <v>505</v>
      </c>
      <c r="D34" s="22" t="e">
        <f>#REF!</f>
        <v>#REF!</v>
      </c>
      <c r="E34" s="23" t="e">
        <f>#REF!</f>
        <v>#REF!</v>
      </c>
      <c r="F34" s="36">
        <v>50</v>
      </c>
      <c r="G34" s="28" t="e">
        <f t="shared" si="5"/>
        <v>#REF!</v>
      </c>
      <c r="H34" s="28"/>
      <c r="I34" s="43"/>
      <c r="J34" s="43"/>
      <c r="K34" s="43"/>
      <c r="L34" s="43"/>
      <c r="M34" s="58"/>
    </row>
    <row r="35" s="2" customFormat="1" ht="15" customHeight="1" outlineLevel="1" spans="1:13">
      <c r="A35" s="26"/>
      <c r="B35" s="34" t="s">
        <v>2269</v>
      </c>
      <c r="C35" s="22" t="s">
        <v>505</v>
      </c>
      <c r="D35" s="22" t="e">
        <f>#REF!</f>
        <v>#REF!</v>
      </c>
      <c r="E35" s="23" t="e">
        <f>#REF!</f>
        <v>#REF!</v>
      </c>
      <c r="F35" s="36">
        <v>45</v>
      </c>
      <c r="G35" s="28" t="e">
        <f t="shared" si="5"/>
        <v>#REF!</v>
      </c>
      <c r="H35" s="28"/>
      <c r="I35" s="43"/>
      <c r="J35" s="43"/>
      <c r="K35" s="43"/>
      <c r="L35" s="43"/>
      <c r="M35" s="58"/>
    </row>
    <row r="36" s="2" customFormat="1" ht="15" customHeight="1" outlineLevel="1" spans="1:13">
      <c r="A36" s="26"/>
      <c r="B36" s="34" t="s">
        <v>2333</v>
      </c>
      <c r="C36" s="22" t="s">
        <v>505</v>
      </c>
      <c r="D36" s="22" t="e">
        <f>#REF!</f>
        <v>#REF!</v>
      </c>
      <c r="E36" s="23" t="e">
        <f>#REF!</f>
        <v>#REF!</v>
      </c>
      <c r="F36" s="36">
        <v>50</v>
      </c>
      <c r="G36" s="28" t="e">
        <f t="shared" si="5"/>
        <v>#REF!</v>
      </c>
      <c r="H36" s="28"/>
      <c r="I36" s="43"/>
      <c r="J36" s="43"/>
      <c r="K36" s="43"/>
      <c r="L36" s="43"/>
      <c r="M36" s="58"/>
    </row>
    <row r="37" s="2" customFormat="1" ht="15" customHeight="1" outlineLevel="1" spans="1:13">
      <c r="A37" s="26" t="s">
        <v>622</v>
      </c>
      <c r="B37" s="27" t="s">
        <v>1275</v>
      </c>
      <c r="C37" s="22"/>
      <c r="D37" s="22"/>
      <c r="E37" s="23"/>
      <c r="F37" s="22"/>
      <c r="G37" s="28" t="e">
        <f>SUM(G38:G40)</f>
        <v>#REF!</v>
      </c>
      <c r="H37" s="28" t="e">
        <f>IF(G37=0,"",IF(#REF!=0,"",G37*10000/#REF!))</f>
        <v>#REF!</v>
      </c>
      <c r="I37" s="43"/>
      <c r="J37" s="43"/>
      <c r="K37" s="43"/>
      <c r="L37" s="43"/>
      <c r="M37" s="58"/>
    </row>
    <row r="38" s="2" customFormat="1" ht="15" customHeight="1" outlineLevel="1" spans="1:13">
      <c r="A38" s="26"/>
      <c r="B38" s="1829" t="s">
        <v>2274</v>
      </c>
      <c r="C38" s="22" t="s">
        <v>505</v>
      </c>
      <c r="D38" s="22">
        <v>1</v>
      </c>
      <c r="E38" s="23" t="e">
        <f>E12+E25</f>
        <v>#REF!</v>
      </c>
      <c r="F38" s="22">
        <v>200</v>
      </c>
      <c r="G38" s="28" t="e">
        <f t="shared" ref="G38:G40" si="6">D38*E38*F38/10000</f>
        <v>#REF!</v>
      </c>
      <c r="H38" s="28" t="e">
        <f>IF(G38=0,"",IF(#REF!=0,"",G38*10000/#REF!))</f>
        <v>#REF!</v>
      </c>
      <c r="I38" s="43"/>
      <c r="J38" s="43"/>
      <c r="K38" s="43"/>
      <c r="L38" s="43"/>
      <c r="M38" s="58"/>
    </row>
    <row r="39" s="2" customFormat="1" ht="15" customHeight="1" outlineLevel="1" spans="1:13">
      <c r="A39" s="26"/>
      <c r="B39" s="1829" t="s">
        <v>2275</v>
      </c>
      <c r="C39" s="22" t="s">
        <v>505</v>
      </c>
      <c r="D39" s="41">
        <v>0.03</v>
      </c>
      <c r="E39" s="23" t="e">
        <f>E38</f>
        <v>#REF!</v>
      </c>
      <c r="F39" s="42" t="e">
        <f>SUM(H10,H23,H24,H38,H31)</f>
        <v>#REF!</v>
      </c>
      <c r="G39" s="28" t="e">
        <f t="shared" si="6"/>
        <v>#REF!</v>
      </c>
      <c r="H39" s="28"/>
      <c r="I39" s="43"/>
      <c r="J39" s="43"/>
      <c r="K39" s="43"/>
      <c r="L39" s="43"/>
      <c r="M39" s="61"/>
    </row>
    <row r="40" s="2" customFormat="1" ht="15" customHeight="1" outlineLevel="1" spans="1:13">
      <c r="A40" s="26"/>
      <c r="B40" s="43" t="s">
        <v>2334</v>
      </c>
      <c r="C40" s="22"/>
      <c r="D40" s="22">
        <v>3.1</v>
      </c>
      <c r="E40" s="23" t="e">
        <f>#REF!</f>
        <v>#REF!</v>
      </c>
      <c r="F40" s="22">
        <v>63</v>
      </c>
      <c r="G40" s="28" t="e">
        <f t="shared" si="6"/>
        <v>#REF!</v>
      </c>
      <c r="H40" s="28"/>
      <c r="I40" s="43"/>
      <c r="J40" s="43"/>
      <c r="K40" s="43"/>
      <c r="L40" s="43"/>
      <c r="M40" s="58"/>
    </row>
    <row r="41" s="2" customFormat="1" ht="15" customHeight="1" spans="1:13">
      <c r="A41" s="1825" t="s">
        <v>2336</v>
      </c>
      <c r="B41" s="15" t="s">
        <v>1803</v>
      </c>
      <c r="C41" s="16"/>
      <c r="D41" s="16"/>
      <c r="E41" s="17"/>
      <c r="F41" s="16"/>
      <c r="G41" s="18" t="e">
        <f>SUM(G42:G46)</f>
        <v>#REF!</v>
      </c>
      <c r="H41" s="18" t="e">
        <f>IF(G41=0,"",IF(#REF!=0,"",G41*10000/#REF!))</f>
        <v>#REF!</v>
      </c>
      <c r="I41" s="57"/>
      <c r="J41" s="57"/>
      <c r="K41" s="57"/>
      <c r="L41" s="57"/>
      <c r="M41" s="58"/>
    </row>
    <row r="42" s="2" customFormat="1" ht="15" customHeight="1" outlineLevel="1" spans="1:13">
      <c r="A42" s="19" t="s">
        <v>622</v>
      </c>
      <c r="B42" s="20" t="s">
        <v>2337</v>
      </c>
      <c r="C42" s="22" t="s">
        <v>602</v>
      </c>
      <c r="D42" s="22">
        <v>1</v>
      </c>
      <c r="E42" s="23" t="e">
        <f>#REF!</f>
        <v>#REF!</v>
      </c>
      <c r="F42" s="22">
        <v>20000</v>
      </c>
      <c r="G42" s="28" t="e">
        <f t="shared" ref="G42:G46" si="7">D42*E42*F42/10000</f>
        <v>#REF!</v>
      </c>
      <c r="H42" s="28" t="e">
        <f>IF(G42=0,"",IF(#REF!=0,"",G42*10000/#REF!))</f>
        <v>#REF!</v>
      </c>
      <c r="I42" s="43"/>
      <c r="J42" s="43"/>
      <c r="K42" s="43"/>
      <c r="L42" s="43"/>
      <c r="M42" s="58"/>
    </row>
    <row r="43" s="2" customFormat="1" ht="15" customHeight="1" outlineLevel="1" spans="1:13">
      <c r="A43" s="19" t="s">
        <v>622</v>
      </c>
      <c r="B43" s="20" t="s">
        <v>1808</v>
      </c>
      <c r="C43" s="22" t="s">
        <v>1806</v>
      </c>
      <c r="D43" s="22">
        <v>1</v>
      </c>
      <c r="E43" s="23" t="e">
        <f>#REF!</f>
        <v>#REF!</v>
      </c>
      <c r="F43" s="22">
        <f>1.2*2.1*1500</f>
        <v>3780</v>
      </c>
      <c r="G43" s="28" t="e">
        <f t="shared" si="7"/>
        <v>#REF!</v>
      </c>
      <c r="H43" s="28" t="e">
        <f>IF(G43=0,"",IF(#REF!=0,"",G43*10000/#REF!))</f>
        <v>#REF!</v>
      </c>
      <c r="I43" s="43"/>
      <c r="J43" s="43"/>
      <c r="K43" s="43"/>
      <c r="L43" s="43"/>
      <c r="M43" s="62"/>
    </row>
    <row r="44" s="2" customFormat="1" ht="15" customHeight="1" outlineLevel="1" spans="1:13">
      <c r="A44" s="19" t="s">
        <v>622</v>
      </c>
      <c r="B44" s="20" t="s">
        <v>2437</v>
      </c>
      <c r="C44" s="44" t="s">
        <v>1806</v>
      </c>
      <c r="D44" s="22">
        <v>1</v>
      </c>
      <c r="E44" s="23" t="e">
        <f>E42</f>
        <v>#REF!</v>
      </c>
      <c r="F44" s="22">
        <v>1500</v>
      </c>
      <c r="G44" s="28" t="e">
        <f t="shared" si="7"/>
        <v>#REF!</v>
      </c>
      <c r="H44" s="28" t="e">
        <f>IF(G44=0,"",IF(#REF!=0,"",G44*10000/#REF!))</f>
        <v>#REF!</v>
      </c>
      <c r="I44" s="43"/>
      <c r="J44" s="43"/>
      <c r="K44" s="43"/>
      <c r="L44" s="43"/>
      <c r="M44" s="58"/>
    </row>
    <row r="45" s="2" customFormat="1" ht="15" customHeight="1" outlineLevel="1" spans="1:13">
      <c r="A45" s="19" t="s">
        <v>622</v>
      </c>
      <c r="B45" s="20" t="s">
        <v>2307</v>
      </c>
      <c r="C45" s="44" t="s">
        <v>1806</v>
      </c>
      <c r="D45" s="22">
        <v>1</v>
      </c>
      <c r="E45" s="23">
        <v>0</v>
      </c>
      <c r="F45" s="22">
        <v>12</v>
      </c>
      <c r="G45" s="28">
        <f t="shared" si="7"/>
        <v>0</v>
      </c>
      <c r="H45" s="28" t="s">
        <v>511</v>
      </c>
      <c r="I45" s="43"/>
      <c r="J45" s="43"/>
      <c r="K45" s="43"/>
      <c r="L45" s="43"/>
      <c r="M45" s="58"/>
    </row>
    <row r="46" s="2" customFormat="1" ht="18.75" customHeight="1" outlineLevel="1" spans="1:13">
      <c r="A46" s="19" t="s">
        <v>622</v>
      </c>
      <c r="B46" s="20" t="s">
        <v>1813</v>
      </c>
      <c r="C46" s="22" t="s">
        <v>505</v>
      </c>
      <c r="D46" s="22">
        <v>0.3</v>
      </c>
      <c r="E46" s="23" t="e">
        <f>#REF!</f>
        <v>#REF!</v>
      </c>
      <c r="F46" s="22">
        <v>900</v>
      </c>
      <c r="G46" s="28" t="e">
        <f t="shared" si="7"/>
        <v>#REF!</v>
      </c>
      <c r="H46" s="28" t="e">
        <f>IF(G46=0,"",IF(#REF!=0,"",G46*10000/#REF!))</f>
        <v>#REF!</v>
      </c>
      <c r="I46" s="43"/>
      <c r="J46" s="43"/>
      <c r="K46" s="43"/>
      <c r="L46" s="43"/>
      <c r="M46" s="61"/>
    </row>
    <row r="47" s="2" customFormat="1" ht="15" customHeight="1" spans="1:13">
      <c r="A47" s="1825" t="s">
        <v>2340</v>
      </c>
      <c r="B47" s="15" t="s">
        <v>2308</v>
      </c>
      <c r="C47" s="16"/>
      <c r="D47" s="16"/>
      <c r="E47" s="17"/>
      <c r="F47" s="16"/>
      <c r="G47" s="18" t="e">
        <f>SUM(G48:G56)</f>
        <v>#REF!</v>
      </c>
      <c r="H47" s="18" t="e">
        <f>IF(G47=0,"",IF(#REF!=0,"",G47*10000/#REF!))</f>
        <v>#REF!</v>
      </c>
      <c r="I47" s="57"/>
      <c r="J47" s="57"/>
      <c r="K47" s="57"/>
      <c r="L47" s="57"/>
      <c r="M47" s="58"/>
    </row>
    <row r="48" s="2" customFormat="1" ht="15" customHeight="1" outlineLevel="1" spans="1:13">
      <c r="A48" s="19" t="s">
        <v>622</v>
      </c>
      <c r="B48" s="45" t="s">
        <v>2341</v>
      </c>
      <c r="C48" s="21" t="s">
        <v>505</v>
      </c>
      <c r="D48" s="23" t="e">
        <f>E42</f>
        <v>#REF!</v>
      </c>
      <c r="E48" s="23"/>
      <c r="F48" s="46">
        <v>2000</v>
      </c>
      <c r="G48" s="28" t="e">
        <f>E48*F48*D48/10000</f>
        <v>#REF!</v>
      </c>
      <c r="H48" s="28" t="e">
        <f>IF(G48=0,"",IF(#REF!=0,"",G48*10000/#REF!))</f>
        <v>#REF!</v>
      </c>
      <c r="I48" s="43"/>
      <c r="J48" s="43"/>
      <c r="K48" s="43"/>
      <c r="L48" s="43"/>
      <c r="M48" s="58"/>
    </row>
    <row r="49" s="2" customFormat="1" ht="15" customHeight="1" outlineLevel="1" spans="1:13">
      <c r="A49" s="19" t="s">
        <v>622</v>
      </c>
      <c r="B49" s="45" t="s">
        <v>2312</v>
      </c>
      <c r="C49" s="21" t="s">
        <v>505</v>
      </c>
      <c r="D49" s="23"/>
      <c r="E49" s="23"/>
      <c r="F49" s="46"/>
      <c r="G49" s="28">
        <f t="shared" ref="G49:G56" si="8">E49*F49*D49/10000</f>
        <v>0</v>
      </c>
      <c r="H49" s="28" t="s">
        <v>511</v>
      </c>
      <c r="I49" s="43"/>
      <c r="J49" s="43"/>
      <c r="K49" s="43"/>
      <c r="L49" s="43"/>
      <c r="M49" s="58"/>
    </row>
    <row r="50" s="2" customFormat="1" ht="15" customHeight="1" outlineLevel="1" spans="1:13">
      <c r="A50" s="19" t="s">
        <v>622</v>
      </c>
      <c r="B50" s="45" t="s">
        <v>2342</v>
      </c>
      <c r="C50" s="21" t="s">
        <v>505</v>
      </c>
      <c r="D50" s="47">
        <f>D29</f>
        <v>0.8</v>
      </c>
      <c r="E50" s="23" t="e">
        <f>#REF!</f>
        <v>#REF!</v>
      </c>
      <c r="F50" s="46">
        <v>80</v>
      </c>
      <c r="G50" s="28" t="e">
        <f t="shared" si="8"/>
        <v>#REF!</v>
      </c>
      <c r="H50" s="28" t="e">
        <f>IF(G50=0,"",IF(#REF!=0,"",G50*10000/#REF!))</f>
        <v>#REF!</v>
      </c>
      <c r="I50" s="43"/>
      <c r="J50" s="43"/>
      <c r="K50" s="43"/>
      <c r="L50" s="43"/>
      <c r="M50" s="58" t="s">
        <v>2534</v>
      </c>
    </row>
    <row r="51" s="2" customFormat="1" ht="15" customHeight="1" outlineLevel="1" spans="1:13">
      <c r="A51" s="19" t="s">
        <v>622</v>
      </c>
      <c r="B51" s="45" t="s">
        <v>2533</v>
      </c>
      <c r="C51" s="21" t="s">
        <v>505</v>
      </c>
      <c r="D51" s="47">
        <f>D30</f>
        <v>1.4</v>
      </c>
      <c r="E51" s="23" t="e">
        <f>#REF!</f>
        <v>#REF!</v>
      </c>
      <c r="F51" s="46">
        <v>100</v>
      </c>
      <c r="G51" s="28" t="e">
        <f t="shared" si="8"/>
        <v>#REF!</v>
      </c>
      <c r="H51" s="28" t="e">
        <f>IF(G51=0,"",IF(#REF!=0,"",G51*10000/#REF!))</f>
        <v>#REF!</v>
      </c>
      <c r="I51" s="43"/>
      <c r="J51" s="43"/>
      <c r="K51" s="43"/>
      <c r="L51" s="43"/>
      <c r="M51" s="58" t="s">
        <v>2535</v>
      </c>
    </row>
    <row r="52" s="2" customFormat="1" ht="15" customHeight="1" outlineLevel="1" spans="1:13">
      <c r="A52" s="19" t="s">
        <v>622</v>
      </c>
      <c r="B52" s="45" t="s">
        <v>2344</v>
      </c>
      <c r="C52" s="21" t="s">
        <v>505</v>
      </c>
      <c r="D52" s="47">
        <v>1</v>
      </c>
      <c r="E52" s="23"/>
      <c r="F52" s="46">
        <v>1000</v>
      </c>
      <c r="G52" s="28">
        <f t="shared" si="8"/>
        <v>0</v>
      </c>
      <c r="H52" s="28" t="s">
        <v>511</v>
      </c>
      <c r="I52" s="43"/>
      <c r="J52" s="43"/>
      <c r="K52" s="43"/>
      <c r="L52" s="43"/>
      <c r="M52" s="58"/>
    </row>
    <row r="53" s="2" customFormat="1" ht="15" customHeight="1" outlineLevel="1" spans="1:13">
      <c r="A53" s="19" t="s">
        <v>622</v>
      </c>
      <c r="B53" s="45" t="s">
        <v>2311</v>
      </c>
      <c r="C53" s="21" t="s">
        <v>505</v>
      </c>
      <c r="D53" s="23" t="e">
        <f>#REF!*#REF!</f>
        <v>#REF!</v>
      </c>
      <c r="E53" s="23"/>
      <c r="F53" s="46">
        <v>80</v>
      </c>
      <c r="G53" s="28" t="e">
        <f t="shared" si="8"/>
        <v>#REF!</v>
      </c>
      <c r="H53" s="28" t="e">
        <f>IF(G53=0,"",IF(#REF!=0,"",G53*10000/#REF!))</f>
        <v>#REF!</v>
      </c>
      <c r="I53" s="43"/>
      <c r="J53" s="43"/>
      <c r="K53" s="43"/>
      <c r="L53" s="43"/>
      <c r="M53" s="58"/>
    </row>
    <row r="54" s="2" customFormat="1" ht="15" customHeight="1" outlineLevel="1" spans="1:13">
      <c r="A54" s="19" t="s">
        <v>622</v>
      </c>
      <c r="B54" s="45" t="s">
        <v>2345</v>
      </c>
      <c r="C54" s="22" t="s">
        <v>862</v>
      </c>
      <c r="D54" s="47">
        <v>1.3</v>
      </c>
      <c r="E54" s="23" t="e">
        <f>#REF!</f>
        <v>#REF!</v>
      </c>
      <c r="F54" s="46">
        <v>35</v>
      </c>
      <c r="G54" s="28" t="e">
        <f t="shared" si="8"/>
        <v>#REF!</v>
      </c>
      <c r="H54" s="28" t="e">
        <f>IF(G54=0,"",IF(#REF!=0,"",G54*10000/#REF!))</f>
        <v>#REF!</v>
      </c>
      <c r="I54" s="43"/>
      <c r="J54" s="43"/>
      <c r="K54" s="43"/>
      <c r="L54" s="43"/>
      <c r="M54" s="58"/>
    </row>
    <row r="55" s="2" customFormat="1" ht="15" customHeight="1" outlineLevel="1" spans="1:13">
      <c r="A55" s="19" t="s">
        <v>622</v>
      </c>
      <c r="B55" s="45" t="s">
        <v>2306</v>
      </c>
      <c r="C55" s="21" t="s">
        <v>505</v>
      </c>
      <c r="D55" s="47">
        <v>1</v>
      </c>
      <c r="E55" s="23" t="e">
        <f>#REF!</f>
        <v>#REF!</v>
      </c>
      <c r="F55" s="46">
        <v>50</v>
      </c>
      <c r="G55" s="28" t="e">
        <f t="shared" si="8"/>
        <v>#REF!</v>
      </c>
      <c r="H55" s="28" t="e">
        <f>IF(G55=0,"",IF(#REF!=0,"",G55*10000/#REF!))</f>
        <v>#REF!</v>
      </c>
      <c r="I55" s="43"/>
      <c r="J55" s="43"/>
      <c r="K55" s="43"/>
      <c r="L55" s="43"/>
      <c r="M55" s="58"/>
    </row>
    <row r="56" s="2" customFormat="1" ht="15" customHeight="1" outlineLevel="1" spans="1:13">
      <c r="A56" s="19" t="s">
        <v>622</v>
      </c>
      <c r="B56" s="45" t="s">
        <v>2346</v>
      </c>
      <c r="C56" s="21" t="s">
        <v>505</v>
      </c>
      <c r="D56" s="47">
        <v>1.4</v>
      </c>
      <c r="E56" s="23" t="e">
        <f>#REF!</f>
        <v>#REF!</v>
      </c>
      <c r="F56" s="46">
        <v>120</v>
      </c>
      <c r="G56" s="28" t="e">
        <f t="shared" si="8"/>
        <v>#REF!</v>
      </c>
      <c r="H56" s="28" t="e">
        <f>IF(G56=0,"",IF(#REF!=0,"",G56*10000/#REF!))</f>
        <v>#REF!</v>
      </c>
      <c r="I56" s="43"/>
      <c r="J56" s="43"/>
      <c r="K56" s="43"/>
      <c r="L56" s="43"/>
      <c r="M56" s="58"/>
    </row>
    <row r="57" s="2" customFormat="1" ht="15" customHeight="1" spans="1:13">
      <c r="A57" s="1825" t="s">
        <v>2347</v>
      </c>
      <c r="B57" s="15" t="s">
        <v>1705</v>
      </c>
      <c r="C57" s="16"/>
      <c r="D57" s="16">
        <v>1</v>
      </c>
      <c r="E57" s="17"/>
      <c r="F57" s="16"/>
      <c r="G57" s="18">
        <f>D57*E57*F57/10000</f>
        <v>0</v>
      </c>
      <c r="H57" s="18" t="str">
        <f>IF(G57=0,"",IF(#REF!=0,"",G57*10000/#REF!))</f>
        <v/>
      </c>
      <c r="I57" s="57"/>
      <c r="J57" s="57"/>
      <c r="K57" s="57"/>
      <c r="L57" s="57"/>
      <c r="M57" s="58" t="s">
        <v>2536</v>
      </c>
    </row>
    <row r="58" s="2" customFormat="1" ht="15" customHeight="1" spans="1:13">
      <c r="A58" s="10" t="s">
        <v>2348</v>
      </c>
      <c r="B58" s="11" t="s">
        <v>2349</v>
      </c>
      <c r="C58" s="12"/>
      <c r="D58" s="12"/>
      <c r="E58" s="48"/>
      <c r="F58" s="12"/>
      <c r="G58" s="13" t="e">
        <f>G59+G75+G79</f>
        <v>#REF!</v>
      </c>
      <c r="H58" s="13" t="e">
        <f>IF(G58=0,"",IF(#REF!=0,"",G58*10000/#REF!))</f>
        <v>#REF!</v>
      </c>
      <c r="I58" s="55"/>
      <c r="J58" s="55"/>
      <c r="K58" s="55"/>
      <c r="L58" s="55"/>
      <c r="M58" s="63"/>
    </row>
    <row r="59" s="2" customFormat="1" ht="15" customHeight="1" spans="1:13">
      <c r="A59" s="1825" t="s">
        <v>2247</v>
      </c>
      <c r="B59" s="15" t="s">
        <v>2279</v>
      </c>
      <c r="C59" s="16"/>
      <c r="D59" s="16"/>
      <c r="E59" s="17"/>
      <c r="F59" s="16"/>
      <c r="G59" s="18" t="e">
        <f>G60+G67+G65+G66</f>
        <v>#REF!</v>
      </c>
      <c r="H59" s="18" t="e">
        <f>IF(G59=0,"",IF(#REF!=0,"",G59*10000/#REF!))</f>
        <v>#REF!</v>
      </c>
      <c r="I59" s="57"/>
      <c r="J59" s="57"/>
      <c r="K59" s="57"/>
      <c r="L59" s="57"/>
      <c r="M59" s="58"/>
    </row>
    <row r="60" s="2" customFormat="1" ht="15" customHeight="1" outlineLevel="1" spans="1:13">
      <c r="A60" s="19" t="s">
        <v>622</v>
      </c>
      <c r="B60" s="20" t="s">
        <v>2280</v>
      </c>
      <c r="C60" s="22" t="s">
        <v>505</v>
      </c>
      <c r="D60" s="49"/>
      <c r="E60" s="23"/>
      <c r="F60" s="22"/>
      <c r="G60" s="28" t="e">
        <f>SUM(G61:G64)</f>
        <v>#REF!</v>
      </c>
      <c r="H60" s="28" t="e">
        <f>IF(G60=0,"",IF(#REF!=0,"",G60*10000/#REF!))</f>
        <v>#REF!</v>
      </c>
      <c r="I60" s="43"/>
      <c r="J60" s="43"/>
      <c r="K60" s="43"/>
      <c r="L60" s="43"/>
      <c r="M60" s="58"/>
    </row>
    <row r="61" s="2" customFormat="1" ht="15" customHeight="1" outlineLevel="1" spans="1:13">
      <c r="A61" s="19"/>
      <c r="B61" s="50" t="s">
        <v>2350</v>
      </c>
      <c r="C61" s="21" t="s">
        <v>505</v>
      </c>
      <c r="D61" s="21">
        <v>1</v>
      </c>
      <c r="E61" s="23" t="e">
        <f>E38</f>
        <v>#REF!</v>
      </c>
      <c r="F61" s="22">
        <v>45</v>
      </c>
      <c r="G61" s="28" t="e">
        <f t="shared" ref="G61:G76" si="9">D61*E61*F61/10000</f>
        <v>#REF!</v>
      </c>
      <c r="H61" s="28"/>
      <c r="I61" s="43"/>
      <c r="J61" s="43"/>
      <c r="K61" s="43"/>
      <c r="L61" s="43"/>
      <c r="M61" s="58"/>
    </row>
    <row r="62" s="2" customFormat="1" ht="15" customHeight="1" outlineLevel="1" spans="1:13">
      <c r="A62" s="19"/>
      <c r="B62" s="50" t="s">
        <v>2351</v>
      </c>
      <c r="C62" s="21" t="s">
        <v>505</v>
      </c>
      <c r="D62" s="21">
        <v>1</v>
      </c>
      <c r="E62" s="23" t="e">
        <f>E61</f>
        <v>#REF!</v>
      </c>
      <c r="F62" s="22">
        <v>8</v>
      </c>
      <c r="G62" s="28" t="e">
        <f t="shared" si="9"/>
        <v>#REF!</v>
      </c>
      <c r="H62" s="28"/>
      <c r="I62" s="43"/>
      <c r="J62" s="43"/>
      <c r="K62" s="43"/>
      <c r="L62" s="43"/>
      <c r="M62" s="58"/>
    </row>
    <row r="63" s="2" customFormat="1" ht="15" customHeight="1" outlineLevel="1" spans="1:13">
      <c r="A63" s="19"/>
      <c r="B63" s="50" t="s">
        <v>2352</v>
      </c>
      <c r="C63" s="21" t="s">
        <v>505</v>
      </c>
      <c r="D63" s="21">
        <v>1</v>
      </c>
      <c r="E63" s="23" t="e">
        <f>E62</f>
        <v>#REF!</v>
      </c>
      <c r="F63" s="22">
        <v>15</v>
      </c>
      <c r="G63" s="28" t="e">
        <f t="shared" si="9"/>
        <v>#REF!</v>
      </c>
      <c r="H63" s="28"/>
      <c r="I63" s="43"/>
      <c r="J63" s="43"/>
      <c r="K63" s="43"/>
      <c r="L63" s="43"/>
      <c r="M63" s="58"/>
    </row>
    <row r="64" s="2" customFormat="1" ht="15" customHeight="1" outlineLevel="1" spans="1:13">
      <c r="A64" s="19"/>
      <c r="B64" s="45" t="s">
        <v>2354</v>
      </c>
      <c r="C64" s="21" t="s">
        <v>601</v>
      </c>
      <c r="D64" s="21">
        <v>1</v>
      </c>
      <c r="E64" s="23"/>
      <c r="F64" s="22"/>
      <c r="G64" s="28">
        <f t="shared" si="9"/>
        <v>0</v>
      </c>
      <c r="H64" s="28" t="s">
        <v>511</v>
      </c>
      <c r="I64" s="43"/>
      <c r="J64" s="43"/>
      <c r="K64" s="43"/>
      <c r="L64" s="43"/>
      <c r="M64" s="58"/>
    </row>
    <row r="65" s="2" customFormat="1" ht="16.5" customHeight="1" outlineLevel="1" spans="1:13">
      <c r="A65" s="19" t="s">
        <v>622</v>
      </c>
      <c r="B65" s="20" t="s">
        <v>2284</v>
      </c>
      <c r="C65" s="21" t="s">
        <v>505</v>
      </c>
      <c r="D65" s="21">
        <v>1</v>
      </c>
      <c r="E65" s="23" t="e">
        <f>#REF!+#REF!</f>
        <v>#REF!</v>
      </c>
      <c r="F65" s="22">
        <v>0</v>
      </c>
      <c r="G65" s="28" t="e">
        <f t="shared" si="9"/>
        <v>#REF!</v>
      </c>
      <c r="H65" s="28" t="s">
        <v>511</v>
      </c>
      <c r="I65" s="43"/>
      <c r="J65" s="43"/>
      <c r="K65" s="43"/>
      <c r="L65" s="43"/>
      <c r="M65" s="58"/>
    </row>
    <row r="66" s="2" customFormat="1" ht="15" customHeight="1" outlineLevel="1" spans="1:13">
      <c r="A66" s="19" t="s">
        <v>622</v>
      </c>
      <c r="B66" s="20" t="s">
        <v>2355</v>
      </c>
      <c r="C66" s="21" t="s">
        <v>601</v>
      </c>
      <c r="D66" s="21">
        <v>1</v>
      </c>
      <c r="E66" s="23"/>
      <c r="F66" s="22"/>
      <c r="G66" s="28">
        <f t="shared" si="9"/>
        <v>0</v>
      </c>
      <c r="H66" s="28" t="s">
        <v>511</v>
      </c>
      <c r="I66" s="43"/>
      <c r="J66" s="43"/>
      <c r="K66" s="43"/>
      <c r="L66" s="43"/>
      <c r="M66" s="58"/>
    </row>
    <row r="67" s="2" customFormat="1" ht="15" customHeight="1" outlineLevel="1" spans="1:13">
      <c r="A67" s="19" t="s">
        <v>622</v>
      </c>
      <c r="B67" s="20" t="s">
        <v>2285</v>
      </c>
      <c r="C67" s="22" t="s">
        <v>505</v>
      </c>
      <c r="D67" s="49"/>
      <c r="E67" s="23"/>
      <c r="F67" s="22"/>
      <c r="G67" s="28" t="e">
        <f>SUM(G68:G74)</f>
        <v>#REF!</v>
      </c>
      <c r="H67" s="28" t="e">
        <f>IF(G67=0,"",IF(#REF!=0,"",G67*10000/#REF!))</f>
        <v>#REF!</v>
      </c>
      <c r="I67" s="43"/>
      <c r="J67" s="43"/>
      <c r="K67" s="43"/>
      <c r="L67" s="43"/>
      <c r="M67" s="74"/>
    </row>
    <row r="68" s="2" customFormat="1" ht="15" customHeight="1" outlineLevel="1" spans="1:13">
      <c r="A68" s="19"/>
      <c r="B68" s="45" t="s">
        <v>2356</v>
      </c>
      <c r="C68" s="21" t="s">
        <v>505</v>
      </c>
      <c r="D68" s="21">
        <v>1</v>
      </c>
      <c r="E68" s="23" t="e">
        <f>E63</f>
        <v>#REF!</v>
      </c>
      <c r="F68" s="22">
        <v>50</v>
      </c>
      <c r="G68" s="28" t="e">
        <f t="shared" si="9"/>
        <v>#REF!</v>
      </c>
      <c r="H68" s="28"/>
      <c r="I68" s="43"/>
      <c r="J68" s="43"/>
      <c r="K68" s="43"/>
      <c r="L68" s="43"/>
      <c r="M68" s="58"/>
    </row>
    <row r="69" s="2" customFormat="1" ht="15" customHeight="1" outlineLevel="1" spans="1:13">
      <c r="A69" s="19"/>
      <c r="B69" s="45" t="s">
        <v>2357</v>
      </c>
      <c r="C69" s="21" t="s">
        <v>505</v>
      </c>
      <c r="D69" s="21">
        <v>1</v>
      </c>
      <c r="E69" s="23" t="e">
        <f t="shared" ref="E69:E72" si="10">E68</f>
        <v>#REF!</v>
      </c>
      <c r="F69" s="22">
        <v>12</v>
      </c>
      <c r="G69" s="28" t="e">
        <f t="shared" si="9"/>
        <v>#REF!</v>
      </c>
      <c r="H69" s="28"/>
      <c r="I69" s="43"/>
      <c r="J69" s="43"/>
      <c r="K69" s="43"/>
      <c r="L69" s="43"/>
      <c r="M69" s="58"/>
    </row>
    <row r="70" s="2" customFormat="1" ht="15" customHeight="1" outlineLevel="1" spans="1:13">
      <c r="A70" s="19"/>
      <c r="B70" s="45" t="s">
        <v>2288</v>
      </c>
      <c r="C70" s="21" t="s">
        <v>505</v>
      </c>
      <c r="D70" s="21">
        <v>1</v>
      </c>
      <c r="E70" s="23" t="e">
        <f t="shared" si="10"/>
        <v>#REF!</v>
      </c>
      <c r="F70" s="22">
        <v>30</v>
      </c>
      <c r="G70" s="28" t="e">
        <f t="shared" si="9"/>
        <v>#REF!</v>
      </c>
      <c r="H70" s="28"/>
      <c r="I70" s="43"/>
      <c r="J70" s="43"/>
      <c r="K70" s="43"/>
      <c r="L70" s="43"/>
      <c r="M70" s="58"/>
    </row>
    <row r="71" s="2" customFormat="1" ht="15" customHeight="1" outlineLevel="1" spans="1:13">
      <c r="A71" s="19"/>
      <c r="B71" s="64" t="s">
        <v>2289</v>
      </c>
      <c r="C71" s="65" t="s">
        <v>505</v>
      </c>
      <c r="D71" s="65">
        <v>1</v>
      </c>
      <c r="E71" s="23" t="e">
        <f t="shared" si="10"/>
        <v>#REF!</v>
      </c>
      <c r="F71" s="22">
        <v>1</v>
      </c>
      <c r="G71" s="28" t="e">
        <f t="shared" si="9"/>
        <v>#REF!</v>
      </c>
      <c r="H71" s="28"/>
      <c r="I71" s="43"/>
      <c r="J71" s="43"/>
      <c r="K71" s="43"/>
      <c r="L71" s="43"/>
      <c r="M71" s="58"/>
    </row>
    <row r="72" s="2" customFormat="1" ht="15" customHeight="1" outlineLevel="1" spans="1:13">
      <c r="A72" s="19"/>
      <c r="B72" s="64" t="s">
        <v>2290</v>
      </c>
      <c r="C72" s="65" t="s">
        <v>505</v>
      </c>
      <c r="D72" s="65">
        <v>1</v>
      </c>
      <c r="E72" s="23" t="e">
        <f t="shared" si="10"/>
        <v>#REF!</v>
      </c>
      <c r="F72" s="22">
        <v>5</v>
      </c>
      <c r="G72" s="28" t="e">
        <f t="shared" si="9"/>
        <v>#REF!</v>
      </c>
      <c r="H72" s="28"/>
      <c r="I72" s="43"/>
      <c r="J72" s="43"/>
      <c r="K72" s="43"/>
      <c r="L72" s="43"/>
      <c r="M72" s="58"/>
    </row>
    <row r="73" s="2" customFormat="1" ht="15" customHeight="1" outlineLevel="1" spans="1:13">
      <c r="A73" s="19"/>
      <c r="B73" s="45" t="s">
        <v>2358</v>
      </c>
      <c r="C73" s="21" t="s">
        <v>601</v>
      </c>
      <c r="D73" s="21">
        <v>1</v>
      </c>
      <c r="E73" s="23" t="e">
        <f>#REF!</f>
        <v>#REF!</v>
      </c>
      <c r="F73" s="22">
        <v>100</v>
      </c>
      <c r="G73" s="28" t="e">
        <f t="shared" si="9"/>
        <v>#REF!</v>
      </c>
      <c r="H73" s="28"/>
      <c r="I73" s="43"/>
      <c r="J73" s="43"/>
      <c r="K73" s="43"/>
      <c r="L73" s="43"/>
      <c r="M73" s="58"/>
    </row>
    <row r="74" s="2" customFormat="1" ht="15" customHeight="1" outlineLevel="1" spans="1:13">
      <c r="A74" s="19"/>
      <c r="B74" s="45" t="s">
        <v>2359</v>
      </c>
      <c r="C74" s="21" t="s">
        <v>601</v>
      </c>
      <c r="D74" s="21">
        <v>1</v>
      </c>
      <c r="E74" s="23" t="e">
        <f>#REF!</f>
        <v>#REF!</v>
      </c>
      <c r="F74" s="22">
        <v>500</v>
      </c>
      <c r="G74" s="28" t="e">
        <f t="shared" si="9"/>
        <v>#REF!</v>
      </c>
      <c r="H74" s="28"/>
      <c r="I74" s="43"/>
      <c r="J74" s="43"/>
      <c r="K74" s="43"/>
      <c r="L74" s="43"/>
      <c r="M74" s="58"/>
    </row>
    <row r="75" s="2" customFormat="1" ht="15" customHeight="1" spans="1:13">
      <c r="A75" s="1825" t="s">
        <v>2257</v>
      </c>
      <c r="B75" s="15" t="s">
        <v>2291</v>
      </c>
      <c r="C75" s="16"/>
      <c r="D75" s="16"/>
      <c r="E75" s="17"/>
      <c r="F75" s="16"/>
      <c r="G75" s="18" t="e">
        <f>G76+G77+G78</f>
        <v>#REF!</v>
      </c>
      <c r="H75" s="18" t="e">
        <f>IF(G75=0,"",IF(#REF!=0,"",G75*10000/#REF!))</f>
        <v>#REF!</v>
      </c>
      <c r="I75" s="57"/>
      <c r="J75" s="57"/>
      <c r="K75" s="57"/>
      <c r="L75" s="57"/>
      <c r="M75" s="58"/>
    </row>
    <row r="76" s="2" customFormat="1" ht="15" customHeight="1" outlineLevel="1" spans="1:13">
      <c r="A76" s="19" t="s">
        <v>622</v>
      </c>
      <c r="B76" s="20" t="s">
        <v>2537</v>
      </c>
      <c r="C76" s="66" t="s">
        <v>602</v>
      </c>
      <c r="D76" s="23">
        <v>1</v>
      </c>
      <c r="E76" s="23"/>
      <c r="F76" s="23"/>
      <c r="G76" s="28">
        <f t="shared" si="9"/>
        <v>0</v>
      </c>
      <c r="H76" s="28" t="str">
        <f>IF(G76=0,"",IF(#REF!=0,"",G76*10000/#REF!))</f>
        <v/>
      </c>
      <c r="I76" s="43"/>
      <c r="J76" s="43"/>
      <c r="K76" s="43"/>
      <c r="L76" s="43"/>
      <c r="M76" s="58"/>
    </row>
    <row r="77" s="2" customFormat="1" ht="15" customHeight="1" outlineLevel="1" spans="1:13">
      <c r="A77" s="19" t="s">
        <v>622</v>
      </c>
      <c r="B77" s="20" t="s">
        <v>2361</v>
      </c>
      <c r="C77" s="66"/>
      <c r="D77" s="22"/>
      <c r="E77" s="23"/>
      <c r="F77" s="23"/>
      <c r="G77" s="28"/>
      <c r="H77" s="28" t="s">
        <v>511</v>
      </c>
      <c r="I77" s="43"/>
      <c r="J77" s="43"/>
      <c r="K77" s="43"/>
      <c r="L77" s="43"/>
      <c r="M77" s="58"/>
    </row>
    <row r="78" s="2" customFormat="1" ht="15" customHeight="1" outlineLevel="1" spans="1:13">
      <c r="A78" s="19" t="s">
        <v>622</v>
      </c>
      <c r="B78" s="20" t="s">
        <v>2295</v>
      </c>
      <c r="C78" s="22" t="s">
        <v>505</v>
      </c>
      <c r="D78" s="21">
        <v>1</v>
      </c>
      <c r="E78" s="23" t="e">
        <f>E72</f>
        <v>#REF!</v>
      </c>
      <c r="F78" s="67">
        <v>30</v>
      </c>
      <c r="G78" s="28" t="e">
        <f>D78*E78*F78/10000</f>
        <v>#REF!</v>
      </c>
      <c r="H78" s="28" t="e">
        <f>IF(G78=0,"",IF(#REF!=0,"",G78*10000/#REF!))</f>
        <v>#REF!</v>
      </c>
      <c r="I78" s="43"/>
      <c r="J78" s="43"/>
      <c r="K78" s="43"/>
      <c r="L78" s="43"/>
      <c r="M78" s="58"/>
    </row>
    <row r="79" s="2" customFormat="1" ht="15" customHeight="1" spans="1:13">
      <c r="A79" s="1825" t="s">
        <v>2362</v>
      </c>
      <c r="B79" s="15" t="s">
        <v>2363</v>
      </c>
      <c r="C79" s="16"/>
      <c r="D79" s="16"/>
      <c r="E79" s="17"/>
      <c r="F79" s="17"/>
      <c r="G79" s="18" t="e">
        <f>SUM(G80:G82)</f>
        <v>#REF!</v>
      </c>
      <c r="H79" s="18" t="e">
        <f>IF(G79=0,"",IF(#REF!=0,"",G79*10000/#REF!))</f>
        <v>#REF!</v>
      </c>
      <c r="I79" s="57"/>
      <c r="J79" s="57"/>
      <c r="K79" s="57"/>
      <c r="L79" s="57"/>
      <c r="M79" s="74" t="s">
        <v>2364</v>
      </c>
    </row>
    <row r="80" s="2" customFormat="1" ht="15" customHeight="1" outlineLevel="1" spans="1:13">
      <c r="A80" s="19" t="s">
        <v>622</v>
      </c>
      <c r="B80" s="20" t="s">
        <v>2365</v>
      </c>
      <c r="C80" s="66" t="s">
        <v>601</v>
      </c>
      <c r="D80" s="21">
        <v>1</v>
      </c>
      <c r="E80" s="23" t="e">
        <f>#REF!</f>
        <v>#REF!</v>
      </c>
      <c r="F80" s="22">
        <v>2500</v>
      </c>
      <c r="G80" s="28" t="e">
        <f t="shared" ref="G80:G82" si="11">E80*F80/10000</f>
        <v>#REF!</v>
      </c>
      <c r="H80" s="28" t="e">
        <f>IF(G80=0,"",IF(#REF!=0,"",G80*10000/#REF!))</f>
        <v>#REF!</v>
      </c>
      <c r="I80" s="43"/>
      <c r="J80" s="43"/>
      <c r="K80" s="43"/>
      <c r="L80" s="43"/>
      <c r="M80" s="58"/>
    </row>
    <row r="81" s="2" customFormat="1" ht="15" customHeight="1" outlineLevel="1" spans="1:13">
      <c r="A81" s="19" t="s">
        <v>622</v>
      </c>
      <c r="B81" s="20" t="s">
        <v>2367</v>
      </c>
      <c r="C81" s="66" t="s">
        <v>601</v>
      </c>
      <c r="D81" s="21">
        <v>1</v>
      </c>
      <c r="E81" s="23" t="e">
        <f>#REF!</f>
        <v>#REF!</v>
      </c>
      <c r="F81" s="22">
        <v>3000</v>
      </c>
      <c r="G81" s="28" t="e">
        <f t="shared" si="11"/>
        <v>#REF!</v>
      </c>
      <c r="H81" s="28" t="e">
        <f>IF(G81=0,"",IF(#REF!=0,"",G81*10000/#REF!))</f>
        <v>#REF!</v>
      </c>
      <c r="I81" s="43"/>
      <c r="J81" s="43"/>
      <c r="K81" s="43"/>
      <c r="L81" s="43"/>
      <c r="M81" s="58"/>
    </row>
    <row r="82" s="2" customFormat="1" ht="15" customHeight="1" outlineLevel="1" spans="1:13">
      <c r="A82" s="68" t="s">
        <v>622</v>
      </c>
      <c r="B82" s="69" t="s">
        <v>2368</v>
      </c>
      <c r="C82" s="70" t="s">
        <v>601</v>
      </c>
      <c r="D82" s="71"/>
      <c r="E82" s="72"/>
      <c r="F82" s="71"/>
      <c r="G82" s="73">
        <f t="shared" si="11"/>
        <v>0</v>
      </c>
      <c r="H82" s="73" t="s">
        <v>511</v>
      </c>
      <c r="I82" s="75"/>
      <c r="J82" s="75"/>
      <c r="K82" s="75"/>
      <c r="L82" s="75"/>
      <c r="M82" s="76" t="s">
        <v>2495</v>
      </c>
    </row>
  </sheetData>
  <mergeCells count="1">
    <mergeCell ref="C1:E1"/>
  </mergeCells>
  <pageMargins left="0.75" right="0.75" top="1" bottom="1" header="0.5" footer="0.5"/>
  <pageSetup paperSize="9" orientation="portrait"/>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4" tint="0.399975585192419"/>
  </sheetPr>
  <dimension ref="B1:P57"/>
  <sheetViews>
    <sheetView zoomScale="85" zoomScaleNormal="85" workbookViewId="0">
      <pane xSplit="2" ySplit="5" topLeftCell="C6" activePane="bottomRight" state="frozen"/>
      <selection/>
      <selection pane="topRight"/>
      <selection pane="bottomLeft"/>
      <selection pane="bottomRight" activeCell="D19" sqref="D19"/>
    </sheetView>
  </sheetViews>
  <sheetFormatPr defaultColWidth="9" defaultRowHeight="20.1" customHeight="1"/>
  <cols>
    <col min="1" max="1" width="1.4" style="1603" customWidth="1"/>
    <col min="2" max="2" width="17" style="1603" customWidth="1"/>
    <col min="3" max="3" width="22.4" style="1604" customWidth="1"/>
    <col min="4" max="4" width="12.9" style="1603" customWidth="1"/>
    <col min="5" max="5" width="13.6" style="1603" customWidth="1"/>
    <col min="6" max="6" width="27.6" style="1603" customWidth="1"/>
    <col min="7" max="7" width="14.6" style="1603" customWidth="1"/>
    <col min="8" max="8" width="13.4" style="1603" customWidth="1"/>
    <col min="9" max="9" width="13.6" style="1603" customWidth="1"/>
    <col min="10" max="10" width="12.6" style="1603" customWidth="1"/>
    <col min="11" max="11" width="25.1" style="1603" customWidth="1"/>
    <col min="12" max="12" width="7.1" style="1603" customWidth="1"/>
    <col min="13" max="13" width="9.4" style="1603" customWidth="1"/>
    <col min="14" max="256" width="9" style="1603"/>
    <col min="257" max="257" width="4.6" style="1603" customWidth="1"/>
    <col min="258" max="259" width="20.1" style="1603" customWidth="1"/>
    <col min="260" max="260" width="18" style="1603" customWidth="1"/>
    <col min="261" max="261" width="17.1" style="1603" customWidth="1"/>
    <col min="262" max="262" width="15.1" style="1603" customWidth="1"/>
    <col min="263" max="263" width="13" style="1603" customWidth="1"/>
    <col min="264" max="264" width="14.6" style="1603" customWidth="1"/>
    <col min="265" max="265" width="12.5" style="1603" customWidth="1"/>
    <col min="266" max="267" width="12.6" style="1603" customWidth="1"/>
    <col min="268" max="268" width="11.6" style="1603" customWidth="1"/>
    <col min="269" max="512" width="9" style="1603"/>
    <col min="513" max="513" width="4.6" style="1603" customWidth="1"/>
    <col min="514" max="515" width="20.1" style="1603" customWidth="1"/>
    <col min="516" max="516" width="18" style="1603" customWidth="1"/>
    <col min="517" max="517" width="17.1" style="1603" customWidth="1"/>
    <col min="518" max="518" width="15.1" style="1603" customWidth="1"/>
    <col min="519" max="519" width="13" style="1603" customWidth="1"/>
    <col min="520" max="520" width="14.6" style="1603" customWidth="1"/>
    <col min="521" max="521" width="12.5" style="1603" customWidth="1"/>
    <col min="522" max="523" width="12.6" style="1603" customWidth="1"/>
    <col min="524" max="524" width="11.6" style="1603" customWidth="1"/>
    <col min="525" max="768" width="9" style="1603"/>
    <col min="769" max="769" width="4.6" style="1603" customWidth="1"/>
    <col min="770" max="771" width="20.1" style="1603" customWidth="1"/>
    <col min="772" max="772" width="18" style="1603" customWidth="1"/>
    <col min="773" max="773" width="17.1" style="1603" customWidth="1"/>
    <col min="774" max="774" width="15.1" style="1603" customWidth="1"/>
    <col min="775" max="775" width="13" style="1603" customWidth="1"/>
    <col min="776" max="776" width="14.6" style="1603" customWidth="1"/>
    <col min="777" max="777" width="12.5" style="1603" customWidth="1"/>
    <col min="778" max="779" width="12.6" style="1603" customWidth="1"/>
    <col min="780" max="780" width="11.6" style="1603" customWidth="1"/>
    <col min="781" max="1024" width="9" style="1603"/>
    <col min="1025" max="1025" width="4.6" style="1603" customWidth="1"/>
    <col min="1026" max="1027" width="20.1" style="1603" customWidth="1"/>
    <col min="1028" max="1028" width="18" style="1603" customWidth="1"/>
    <col min="1029" max="1029" width="17.1" style="1603" customWidth="1"/>
    <col min="1030" max="1030" width="15.1" style="1603" customWidth="1"/>
    <col min="1031" max="1031" width="13" style="1603" customWidth="1"/>
    <col min="1032" max="1032" width="14.6" style="1603" customWidth="1"/>
    <col min="1033" max="1033" width="12.5" style="1603" customWidth="1"/>
    <col min="1034" max="1035" width="12.6" style="1603" customWidth="1"/>
    <col min="1036" max="1036" width="11.6" style="1603" customWidth="1"/>
    <col min="1037" max="1280" width="9" style="1603"/>
    <col min="1281" max="1281" width="4.6" style="1603" customWidth="1"/>
    <col min="1282" max="1283" width="20.1" style="1603" customWidth="1"/>
    <col min="1284" max="1284" width="18" style="1603" customWidth="1"/>
    <col min="1285" max="1285" width="17.1" style="1603" customWidth="1"/>
    <col min="1286" max="1286" width="15.1" style="1603" customWidth="1"/>
    <col min="1287" max="1287" width="13" style="1603" customWidth="1"/>
    <col min="1288" max="1288" width="14.6" style="1603" customWidth="1"/>
    <col min="1289" max="1289" width="12.5" style="1603" customWidth="1"/>
    <col min="1290" max="1291" width="12.6" style="1603" customWidth="1"/>
    <col min="1292" max="1292" width="11.6" style="1603" customWidth="1"/>
    <col min="1293" max="1536" width="9" style="1603"/>
    <col min="1537" max="1537" width="4.6" style="1603" customWidth="1"/>
    <col min="1538" max="1539" width="20.1" style="1603" customWidth="1"/>
    <col min="1540" max="1540" width="18" style="1603" customWidth="1"/>
    <col min="1541" max="1541" width="17.1" style="1603" customWidth="1"/>
    <col min="1542" max="1542" width="15.1" style="1603" customWidth="1"/>
    <col min="1543" max="1543" width="13" style="1603" customWidth="1"/>
    <col min="1544" max="1544" width="14.6" style="1603" customWidth="1"/>
    <col min="1545" max="1545" width="12.5" style="1603" customWidth="1"/>
    <col min="1546" max="1547" width="12.6" style="1603" customWidth="1"/>
    <col min="1548" max="1548" width="11.6" style="1603" customWidth="1"/>
    <col min="1549" max="1792" width="9" style="1603"/>
    <col min="1793" max="1793" width="4.6" style="1603" customWidth="1"/>
    <col min="1794" max="1795" width="20.1" style="1603" customWidth="1"/>
    <col min="1796" max="1796" width="18" style="1603" customWidth="1"/>
    <col min="1797" max="1797" width="17.1" style="1603" customWidth="1"/>
    <col min="1798" max="1798" width="15.1" style="1603" customWidth="1"/>
    <col min="1799" max="1799" width="13" style="1603" customWidth="1"/>
    <col min="1800" max="1800" width="14.6" style="1603" customWidth="1"/>
    <col min="1801" max="1801" width="12.5" style="1603" customWidth="1"/>
    <col min="1802" max="1803" width="12.6" style="1603" customWidth="1"/>
    <col min="1804" max="1804" width="11.6" style="1603" customWidth="1"/>
    <col min="1805" max="2048" width="9" style="1603"/>
    <col min="2049" max="2049" width="4.6" style="1603" customWidth="1"/>
    <col min="2050" max="2051" width="20.1" style="1603" customWidth="1"/>
    <col min="2052" max="2052" width="18" style="1603" customWidth="1"/>
    <col min="2053" max="2053" width="17.1" style="1603" customWidth="1"/>
    <col min="2054" max="2054" width="15.1" style="1603" customWidth="1"/>
    <col min="2055" max="2055" width="13" style="1603" customWidth="1"/>
    <col min="2056" max="2056" width="14.6" style="1603" customWidth="1"/>
    <col min="2057" max="2057" width="12.5" style="1603" customWidth="1"/>
    <col min="2058" max="2059" width="12.6" style="1603" customWidth="1"/>
    <col min="2060" max="2060" width="11.6" style="1603" customWidth="1"/>
    <col min="2061" max="2304" width="9" style="1603"/>
    <col min="2305" max="2305" width="4.6" style="1603" customWidth="1"/>
    <col min="2306" max="2307" width="20.1" style="1603" customWidth="1"/>
    <col min="2308" max="2308" width="18" style="1603" customWidth="1"/>
    <col min="2309" max="2309" width="17.1" style="1603" customWidth="1"/>
    <col min="2310" max="2310" width="15.1" style="1603" customWidth="1"/>
    <col min="2311" max="2311" width="13" style="1603" customWidth="1"/>
    <col min="2312" max="2312" width="14.6" style="1603" customWidth="1"/>
    <col min="2313" max="2313" width="12.5" style="1603" customWidth="1"/>
    <col min="2314" max="2315" width="12.6" style="1603" customWidth="1"/>
    <col min="2316" max="2316" width="11.6" style="1603" customWidth="1"/>
    <col min="2317" max="2560" width="9" style="1603"/>
    <col min="2561" max="2561" width="4.6" style="1603" customWidth="1"/>
    <col min="2562" max="2563" width="20.1" style="1603" customWidth="1"/>
    <col min="2564" max="2564" width="18" style="1603" customWidth="1"/>
    <col min="2565" max="2565" width="17.1" style="1603" customWidth="1"/>
    <col min="2566" max="2566" width="15.1" style="1603" customWidth="1"/>
    <col min="2567" max="2567" width="13" style="1603" customWidth="1"/>
    <col min="2568" max="2568" width="14.6" style="1603" customWidth="1"/>
    <col min="2569" max="2569" width="12.5" style="1603" customWidth="1"/>
    <col min="2570" max="2571" width="12.6" style="1603" customWidth="1"/>
    <col min="2572" max="2572" width="11.6" style="1603" customWidth="1"/>
    <col min="2573" max="2816" width="9" style="1603"/>
    <col min="2817" max="2817" width="4.6" style="1603" customWidth="1"/>
    <col min="2818" max="2819" width="20.1" style="1603" customWidth="1"/>
    <col min="2820" max="2820" width="18" style="1603" customWidth="1"/>
    <col min="2821" max="2821" width="17.1" style="1603" customWidth="1"/>
    <col min="2822" max="2822" width="15.1" style="1603" customWidth="1"/>
    <col min="2823" max="2823" width="13" style="1603" customWidth="1"/>
    <col min="2824" max="2824" width="14.6" style="1603" customWidth="1"/>
    <col min="2825" max="2825" width="12.5" style="1603" customWidth="1"/>
    <col min="2826" max="2827" width="12.6" style="1603" customWidth="1"/>
    <col min="2828" max="2828" width="11.6" style="1603" customWidth="1"/>
    <col min="2829" max="3072" width="9" style="1603"/>
    <col min="3073" max="3073" width="4.6" style="1603" customWidth="1"/>
    <col min="3074" max="3075" width="20.1" style="1603" customWidth="1"/>
    <col min="3076" max="3076" width="18" style="1603" customWidth="1"/>
    <col min="3077" max="3077" width="17.1" style="1603" customWidth="1"/>
    <col min="3078" max="3078" width="15.1" style="1603" customWidth="1"/>
    <col min="3079" max="3079" width="13" style="1603" customWidth="1"/>
    <col min="3080" max="3080" width="14.6" style="1603" customWidth="1"/>
    <col min="3081" max="3081" width="12.5" style="1603" customWidth="1"/>
    <col min="3082" max="3083" width="12.6" style="1603" customWidth="1"/>
    <col min="3084" max="3084" width="11.6" style="1603" customWidth="1"/>
    <col min="3085" max="3328" width="9" style="1603"/>
    <col min="3329" max="3329" width="4.6" style="1603" customWidth="1"/>
    <col min="3330" max="3331" width="20.1" style="1603" customWidth="1"/>
    <col min="3332" max="3332" width="18" style="1603" customWidth="1"/>
    <col min="3333" max="3333" width="17.1" style="1603" customWidth="1"/>
    <col min="3334" max="3334" width="15.1" style="1603" customWidth="1"/>
    <col min="3335" max="3335" width="13" style="1603" customWidth="1"/>
    <col min="3336" max="3336" width="14.6" style="1603" customWidth="1"/>
    <col min="3337" max="3337" width="12.5" style="1603" customWidth="1"/>
    <col min="3338" max="3339" width="12.6" style="1603" customWidth="1"/>
    <col min="3340" max="3340" width="11.6" style="1603" customWidth="1"/>
    <col min="3341" max="3584" width="9" style="1603"/>
    <col min="3585" max="3585" width="4.6" style="1603" customWidth="1"/>
    <col min="3586" max="3587" width="20.1" style="1603" customWidth="1"/>
    <col min="3588" max="3588" width="18" style="1603" customWidth="1"/>
    <col min="3589" max="3589" width="17.1" style="1603" customWidth="1"/>
    <col min="3590" max="3590" width="15.1" style="1603" customWidth="1"/>
    <col min="3591" max="3591" width="13" style="1603" customWidth="1"/>
    <col min="3592" max="3592" width="14.6" style="1603" customWidth="1"/>
    <col min="3593" max="3593" width="12.5" style="1603" customWidth="1"/>
    <col min="3594" max="3595" width="12.6" style="1603" customWidth="1"/>
    <col min="3596" max="3596" width="11.6" style="1603" customWidth="1"/>
    <col min="3597" max="3840" width="9" style="1603"/>
    <col min="3841" max="3841" width="4.6" style="1603" customWidth="1"/>
    <col min="3842" max="3843" width="20.1" style="1603" customWidth="1"/>
    <col min="3844" max="3844" width="18" style="1603" customWidth="1"/>
    <col min="3845" max="3845" width="17.1" style="1603" customWidth="1"/>
    <col min="3846" max="3846" width="15.1" style="1603" customWidth="1"/>
    <col min="3847" max="3847" width="13" style="1603" customWidth="1"/>
    <col min="3848" max="3848" width="14.6" style="1603" customWidth="1"/>
    <col min="3849" max="3849" width="12.5" style="1603" customWidth="1"/>
    <col min="3850" max="3851" width="12.6" style="1603" customWidth="1"/>
    <col min="3852" max="3852" width="11.6" style="1603" customWidth="1"/>
    <col min="3853" max="4096" width="9" style="1603"/>
    <col min="4097" max="4097" width="4.6" style="1603" customWidth="1"/>
    <col min="4098" max="4099" width="20.1" style="1603" customWidth="1"/>
    <col min="4100" max="4100" width="18" style="1603" customWidth="1"/>
    <col min="4101" max="4101" width="17.1" style="1603" customWidth="1"/>
    <col min="4102" max="4102" width="15.1" style="1603" customWidth="1"/>
    <col min="4103" max="4103" width="13" style="1603" customWidth="1"/>
    <col min="4104" max="4104" width="14.6" style="1603" customWidth="1"/>
    <col min="4105" max="4105" width="12.5" style="1603" customWidth="1"/>
    <col min="4106" max="4107" width="12.6" style="1603" customWidth="1"/>
    <col min="4108" max="4108" width="11.6" style="1603" customWidth="1"/>
    <col min="4109" max="4352" width="9" style="1603"/>
    <col min="4353" max="4353" width="4.6" style="1603" customWidth="1"/>
    <col min="4354" max="4355" width="20.1" style="1603" customWidth="1"/>
    <col min="4356" max="4356" width="18" style="1603" customWidth="1"/>
    <col min="4357" max="4357" width="17.1" style="1603" customWidth="1"/>
    <col min="4358" max="4358" width="15.1" style="1603" customWidth="1"/>
    <col min="4359" max="4359" width="13" style="1603" customWidth="1"/>
    <col min="4360" max="4360" width="14.6" style="1603" customWidth="1"/>
    <col min="4361" max="4361" width="12.5" style="1603" customWidth="1"/>
    <col min="4362" max="4363" width="12.6" style="1603" customWidth="1"/>
    <col min="4364" max="4364" width="11.6" style="1603" customWidth="1"/>
    <col min="4365" max="4608" width="9" style="1603"/>
    <col min="4609" max="4609" width="4.6" style="1603" customWidth="1"/>
    <col min="4610" max="4611" width="20.1" style="1603" customWidth="1"/>
    <col min="4612" max="4612" width="18" style="1603" customWidth="1"/>
    <col min="4613" max="4613" width="17.1" style="1603" customWidth="1"/>
    <col min="4614" max="4614" width="15.1" style="1603" customWidth="1"/>
    <col min="4615" max="4615" width="13" style="1603" customWidth="1"/>
    <col min="4616" max="4616" width="14.6" style="1603" customWidth="1"/>
    <col min="4617" max="4617" width="12.5" style="1603" customWidth="1"/>
    <col min="4618" max="4619" width="12.6" style="1603" customWidth="1"/>
    <col min="4620" max="4620" width="11.6" style="1603" customWidth="1"/>
    <col min="4621" max="4864" width="9" style="1603"/>
    <col min="4865" max="4865" width="4.6" style="1603" customWidth="1"/>
    <col min="4866" max="4867" width="20.1" style="1603" customWidth="1"/>
    <col min="4868" max="4868" width="18" style="1603" customWidth="1"/>
    <col min="4869" max="4869" width="17.1" style="1603" customWidth="1"/>
    <col min="4870" max="4870" width="15.1" style="1603" customWidth="1"/>
    <col min="4871" max="4871" width="13" style="1603" customWidth="1"/>
    <col min="4872" max="4872" width="14.6" style="1603" customWidth="1"/>
    <col min="4873" max="4873" width="12.5" style="1603" customWidth="1"/>
    <col min="4874" max="4875" width="12.6" style="1603" customWidth="1"/>
    <col min="4876" max="4876" width="11.6" style="1603" customWidth="1"/>
    <col min="4877" max="5120" width="9" style="1603"/>
    <col min="5121" max="5121" width="4.6" style="1603" customWidth="1"/>
    <col min="5122" max="5123" width="20.1" style="1603" customWidth="1"/>
    <col min="5124" max="5124" width="18" style="1603" customWidth="1"/>
    <col min="5125" max="5125" width="17.1" style="1603" customWidth="1"/>
    <col min="5126" max="5126" width="15.1" style="1603" customWidth="1"/>
    <col min="5127" max="5127" width="13" style="1603" customWidth="1"/>
    <col min="5128" max="5128" width="14.6" style="1603" customWidth="1"/>
    <col min="5129" max="5129" width="12.5" style="1603" customWidth="1"/>
    <col min="5130" max="5131" width="12.6" style="1603" customWidth="1"/>
    <col min="5132" max="5132" width="11.6" style="1603" customWidth="1"/>
    <col min="5133" max="5376" width="9" style="1603"/>
    <col min="5377" max="5377" width="4.6" style="1603" customWidth="1"/>
    <col min="5378" max="5379" width="20.1" style="1603" customWidth="1"/>
    <col min="5380" max="5380" width="18" style="1603" customWidth="1"/>
    <col min="5381" max="5381" width="17.1" style="1603" customWidth="1"/>
    <col min="5382" max="5382" width="15.1" style="1603" customWidth="1"/>
    <col min="5383" max="5383" width="13" style="1603" customWidth="1"/>
    <col min="5384" max="5384" width="14.6" style="1603" customWidth="1"/>
    <col min="5385" max="5385" width="12.5" style="1603" customWidth="1"/>
    <col min="5386" max="5387" width="12.6" style="1603" customWidth="1"/>
    <col min="5388" max="5388" width="11.6" style="1603" customWidth="1"/>
    <col min="5389" max="5632" width="9" style="1603"/>
    <col min="5633" max="5633" width="4.6" style="1603" customWidth="1"/>
    <col min="5634" max="5635" width="20.1" style="1603" customWidth="1"/>
    <col min="5636" max="5636" width="18" style="1603" customWidth="1"/>
    <col min="5637" max="5637" width="17.1" style="1603" customWidth="1"/>
    <col min="5638" max="5638" width="15.1" style="1603" customWidth="1"/>
    <col min="5639" max="5639" width="13" style="1603" customWidth="1"/>
    <col min="5640" max="5640" width="14.6" style="1603" customWidth="1"/>
    <col min="5641" max="5641" width="12.5" style="1603" customWidth="1"/>
    <col min="5642" max="5643" width="12.6" style="1603" customWidth="1"/>
    <col min="5644" max="5644" width="11.6" style="1603" customWidth="1"/>
    <col min="5645" max="5888" width="9" style="1603"/>
    <col min="5889" max="5889" width="4.6" style="1603" customWidth="1"/>
    <col min="5890" max="5891" width="20.1" style="1603" customWidth="1"/>
    <col min="5892" max="5892" width="18" style="1603" customWidth="1"/>
    <col min="5893" max="5893" width="17.1" style="1603" customWidth="1"/>
    <col min="5894" max="5894" width="15.1" style="1603" customWidth="1"/>
    <col min="5895" max="5895" width="13" style="1603" customWidth="1"/>
    <col min="5896" max="5896" width="14.6" style="1603" customWidth="1"/>
    <col min="5897" max="5897" width="12.5" style="1603" customWidth="1"/>
    <col min="5898" max="5899" width="12.6" style="1603" customWidth="1"/>
    <col min="5900" max="5900" width="11.6" style="1603" customWidth="1"/>
    <col min="5901" max="6144" width="9" style="1603"/>
    <col min="6145" max="6145" width="4.6" style="1603" customWidth="1"/>
    <col min="6146" max="6147" width="20.1" style="1603" customWidth="1"/>
    <col min="6148" max="6148" width="18" style="1603" customWidth="1"/>
    <col min="6149" max="6149" width="17.1" style="1603" customWidth="1"/>
    <col min="6150" max="6150" width="15.1" style="1603" customWidth="1"/>
    <col min="6151" max="6151" width="13" style="1603" customWidth="1"/>
    <col min="6152" max="6152" width="14.6" style="1603" customWidth="1"/>
    <col min="6153" max="6153" width="12.5" style="1603" customWidth="1"/>
    <col min="6154" max="6155" width="12.6" style="1603" customWidth="1"/>
    <col min="6156" max="6156" width="11.6" style="1603" customWidth="1"/>
    <col min="6157" max="6400" width="9" style="1603"/>
    <col min="6401" max="6401" width="4.6" style="1603" customWidth="1"/>
    <col min="6402" max="6403" width="20.1" style="1603" customWidth="1"/>
    <col min="6404" max="6404" width="18" style="1603" customWidth="1"/>
    <col min="6405" max="6405" width="17.1" style="1603" customWidth="1"/>
    <col min="6406" max="6406" width="15.1" style="1603" customWidth="1"/>
    <col min="6407" max="6407" width="13" style="1603" customWidth="1"/>
    <col min="6408" max="6408" width="14.6" style="1603" customWidth="1"/>
    <col min="6409" max="6409" width="12.5" style="1603" customWidth="1"/>
    <col min="6410" max="6411" width="12.6" style="1603" customWidth="1"/>
    <col min="6412" max="6412" width="11.6" style="1603" customWidth="1"/>
    <col min="6413" max="6656" width="9" style="1603"/>
    <col min="6657" max="6657" width="4.6" style="1603" customWidth="1"/>
    <col min="6658" max="6659" width="20.1" style="1603" customWidth="1"/>
    <col min="6660" max="6660" width="18" style="1603" customWidth="1"/>
    <col min="6661" max="6661" width="17.1" style="1603" customWidth="1"/>
    <col min="6662" max="6662" width="15.1" style="1603" customWidth="1"/>
    <col min="6663" max="6663" width="13" style="1603" customWidth="1"/>
    <col min="6664" max="6664" width="14.6" style="1603" customWidth="1"/>
    <col min="6665" max="6665" width="12.5" style="1603" customWidth="1"/>
    <col min="6666" max="6667" width="12.6" style="1603" customWidth="1"/>
    <col min="6668" max="6668" width="11.6" style="1603" customWidth="1"/>
    <col min="6669" max="6912" width="9" style="1603"/>
    <col min="6913" max="6913" width="4.6" style="1603" customWidth="1"/>
    <col min="6914" max="6915" width="20.1" style="1603" customWidth="1"/>
    <col min="6916" max="6916" width="18" style="1603" customWidth="1"/>
    <col min="6917" max="6917" width="17.1" style="1603" customWidth="1"/>
    <col min="6918" max="6918" width="15.1" style="1603" customWidth="1"/>
    <col min="6919" max="6919" width="13" style="1603" customWidth="1"/>
    <col min="6920" max="6920" width="14.6" style="1603" customWidth="1"/>
    <col min="6921" max="6921" width="12.5" style="1603" customWidth="1"/>
    <col min="6922" max="6923" width="12.6" style="1603" customWidth="1"/>
    <col min="6924" max="6924" width="11.6" style="1603" customWidth="1"/>
    <col min="6925" max="7168" width="9" style="1603"/>
    <col min="7169" max="7169" width="4.6" style="1603" customWidth="1"/>
    <col min="7170" max="7171" width="20.1" style="1603" customWidth="1"/>
    <col min="7172" max="7172" width="18" style="1603" customWidth="1"/>
    <col min="7173" max="7173" width="17.1" style="1603" customWidth="1"/>
    <col min="7174" max="7174" width="15.1" style="1603" customWidth="1"/>
    <col min="7175" max="7175" width="13" style="1603" customWidth="1"/>
    <col min="7176" max="7176" width="14.6" style="1603" customWidth="1"/>
    <col min="7177" max="7177" width="12.5" style="1603" customWidth="1"/>
    <col min="7178" max="7179" width="12.6" style="1603" customWidth="1"/>
    <col min="7180" max="7180" width="11.6" style="1603" customWidth="1"/>
    <col min="7181" max="7424" width="9" style="1603"/>
    <col min="7425" max="7425" width="4.6" style="1603" customWidth="1"/>
    <col min="7426" max="7427" width="20.1" style="1603" customWidth="1"/>
    <col min="7428" max="7428" width="18" style="1603" customWidth="1"/>
    <col min="7429" max="7429" width="17.1" style="1603" customWidth="1"/>
    <col min="7430" max="7430" width="15.1" style="1603" customWidth="1"/>
    <col min="7431" max="7431" width="13" style="1603" customWidth="1"/>
    <col min="7432" max="7432" width="14.6" style="1603" customWidth="1"/>
    <col min="7433" max="7433" width="12.5" style="1603" customWidth="1"/>
    <col min="7434" max="7435" width="12.6" style="1603" customWidth="1"/>
    <col min="7436" max="7436" width="11.6" style="1603" customWidth="1"/>
    <col min="7437" max="7680" width="9" style="1603"/>
    <col min="7681" max="7681" width="4.6" style="1603" customWidth="1"/>
    <col min="7682" max="7683" width="20.1" style="1603" customWidth="1"/>
    <col min="7684" max="7684" width="18" style="1603" customWidth="1"/>
    <col min="7685" max="7685" width="17.1" style="1603" customWidth="1"/>
    <col min="7686" max="7686" width="15.1" style="1603" customWidth="1"/>
    <col min="7687" max="7687" width="13" style="1603" customWidth="1"/>
    <col min="7688" max="7688" width="14.6" style="1603" customWidth="1"/>
    <col min="7689" max="7689" width="12.5" style="1603" customWidth="1"/>
    <col min="7690" max="7691" width="12.6" style="1603" customWidth="1"/>
    <col min="7692" max="7692" width="11.6" style="1603" customWidth="1"/>
    <col min="7693" max="7936" width="9" style="1603"/>
    <col min="7937" max="7937" width="4.6" style="1603" customWidth="1"/>
    <col min="7938" max="7939" width="20.1" style="1603" customWidth="1"/>
    <col min="7940" max="7940" width="18" style="1603" customWidth="1"/>
    <col min="7941" max="7941" width="17.1" style="1603" customWidth="1"/>
    <col min="7942" max="7942" width="15.1" style="1603" customWidth="1"/>
    <col min="7943" max="7943" width="13" style="1603" customWidth="1"/>
    <col min="7944" max="7944" width="14.6" style="1603" customWidth="1"/>
    <col min="7945" max="7945" width="12.5" style="1603" customWidth="1"/>
    <col min="7946" max="7947" width="12.6" style="1603" customWidth="1"/>
    <col min="7948" max="7948" width="11.6" style="1603" customWidth="1"/>
    <col min="7949" max="8192" width="9" style="1603"/>
    <col min="8193" max="8193" width="4.6" style="1603" customWidth="1"/>
    <col min="8194" max="8195" width="20.1" style="1603" customWidth="1"/>
    <col min="8196" max="8196" width="18" style="1603" customWidth="1"/>
    <col min="8197" max="8197" width="17.1" style="1603" customWidth="1"/>
    <col min="8198" max="8198" width="15.1" style="1603" customWidth="1"/>
    <col min="8199" max="8199" width="13" style="1603" customWidth="1"/>
    <col min="8200" max="8200" width="14.6" style="1603" customWidth="1"/>
    <col min="8201" max="8201" width="12.5" style="1603" customWidth="1"/>
    <col min="8202" max="8203" width="12.6" style="1603" customWidth="1"/>
    <col min="8204" max="8204" width="11.6" style="1603" customWidth="1"/>
    <col min="8205" max="8448" width="9" style="1603"/>
    <col min="8449" max="8449" width="4.6" style="1603" customWidth="1"/>
    <col min="8450" max="8451" width="20.1" style="1603" customWidth="1"/>
    <col min="8452" max="8452" width="18" style="1603" customWidth="1"/>
    <col min="8453" max="8453" width="17.1" style="1603" customWidth="1"/>
    <col min="8454" max="8454" width="15.1" style="1603" customWidth="1"/>
    <col min="8455" max="8455" width="13" style="1603" customWidth="1"/>
    <col min="8456" max="8456" width="14.6" style="1603" customWidth="1"/>
    <col min="8457" max="8457" width="12.5" style="1603" customWidth="1"/>
    <col min="8458" max="8459" width="12.6" style="1603" customWidth="1"/>
    <col min="8460" max="8460" width="11.6" style="1603" customWidth="1"/>
    <col min="8461" max="8704" width="9" style="1603"/>
    <col min="8705" max="8705" width="4.6" style="1603" customWidth="1"/>
    <col min="8706" max="8707" width="20.1" style="1603" customWidth="1"/>
    <col min="8708" max="8708" width="18" style="1603" customWidth="1"/>
    <col min="8709" max="8709" width="17.1" style="1603" customWidth="1"/>
    <col min="8710" max="8710" width="15.1" style="1603" customWidth="1"/>
    <col min="8711" max="8711" width="13" style="1603" customWidth="1"/>
    <col min="8712" max="8712" width="14.6" style="1603" customWidth="1"/>
    <col min="8713" max="8713" width="12.5" style="1603" customWidth="1"/>
    <col min="8714" max="8715" width="12.6" style="1603" customWidth="1"/>
    <col min="8716" max="8716" width="11.6" style="1603" customWidth="1"/>
    <col min="8717" max="8960" width="9" style="1603"/>
    <col min="8961" max="8961" width="4.6" style="1603" customWidth="1"/>
    <col min="8962" max="8963" width="20.1" style="1603" customWidth="1"/>
    <col min="8964" max="8964" width="18" style="1603" customWidth="1"/>
    <col min="8965" max="8965" width="17.1" style="1603" customWidth="1"/>
    <col min="8966" max="8966" width="15.1" style="1603" customWidth="1"/>
    <col min="8967" max="8967" width="13" style="1603" customWidth="1"/>
    <col min="8968" max="8968" width="14.6" style="1603" customWidth="1"/>
    <col min="8969" max="8969" width="12.5" style="1603" customWidth="1"/>
    <col min="8970" max="8971" width="12.6" style="1603" customWidth="1"/>
    <col min="8972" max="8972" width="11.6" style="1603" customWidth="1"/>
    <col min="8973" max="9216" width="9" style="1603"/>
    <col min="9217" max="9217" width="4.6" style="1603" customWidth="1"/>
    <col min="9218" max="9219" width="20.1" style="1603" customWidth="1"/>
    <col min="9220" max="9220" width="18" style="1603" customWidth="1"/>
    <col min="9221" max="9221" width="17.1" style="1603" customWidth="1"/>
    <col min="9222" max="9222" width="15.1" style="1603" customWidth="1"/>
    <col min="9223" max="9223" width="13" style="1603" customWidth="1"/>
    <col min="9224" max="9224" width="14.6" style="1603" customWidth="1"/>
    <col min="9225" max="9225" width="12.5" style="1603" customWidth="1"/>
    <col min="9226" max="9227" width="12.6" style="1603" customWidth="1"/>
    <col min="9228" max="9228" width="11.6" style="1603" customWidth="1"/>
    <col min="9229" max="9472" width="9" style="1603"/>
    <col min="9473" max="9473" width="4.6" style="1603" customWidth="1"/>
    <col min="9474" max="9475" width="20.1" style="1603" customWidth="1"/>
    <col min="9476" max="9476" width="18" style="1603" customWidth="1"/>
    <col min="9477" max="9477" width="17.1" style="1603" customWidth="1"/>
    <col min="9478" max="9478" width="15.1" style="1603" customWidth="1"/>
    <col min="9479" max="9479" width="13" style="1603" customWidth="1"/>
    <col min="9480" max="9480" width="14.6" style="1603" customWidth="1"/>
    <col min="9481" max="9481" width="12.5" style="1603" customWidth="1"/>
    <col min="9482" max="9483" width="12.6" style="1603" customWidth="1"/>
    <col min="9484" max="9484" width="11.6" style="1603" customWidth="1"/>
    <col min="9485" max="9728" width="9" style="1603"/>
    <col min="9729" max="9729" width="4.6" style="1603" customWidth="1"/>
    <col min="9730" max="9731" width="20.1" style="1603" customWidth="1"/>
    <col min="9732" max="9732" width="18" style="1603" customWidth="1"/>
    <col min="9733" max="9733" width="17.1" style="1603" customWidth="1"/>
    <col min="9734" max="9734" width="15.1" style="1603" customWidth="1"/>
    <col min="9735" max="9735" width="13" style="1603" customWidth="1"/>
    <col min="9736" max="9736" width="14.6" style="1603" customWidth="1"/>
    <col min="9737" max="9737" width="12.5" style="1603" customWidth="1"/>
    <col min="9738" max="9739" width="12.6" style="1603" customWidth="1"/>
    <col min="9740" max="9740" width="11.6" style="1603" customWidth="1"/>
    <col min="9741" max="9984" width="9" style="1603"/>
    <col min="9985" max="9985" width="4.6" style="1603" customWidth="1"/>
    <col min="9986" max="9987" width="20.1" style="1603" customWidth="1"/>
    <col min="9988" max="9988" width="18" style="1603" customWidth="1"/>
    <col min="9989" max="9989" width="17.1" style="1603" customWidth="1"/>
    <col min="9990" max="9990" width="15.1" style="1603" customWidth="1"/>
    <col min="9991" max="9991" width="13" style="1603" customWidth="1"/>
    <col min="9992" max="9992" width="14.6" style="1603" customWidth="1"/>
    <col min="9993" max="9993" width="12.5" style="1603" customWidth="1"/>
    <col min="9994" max="9995" width="12.6" style="1603" customWidth="1"/>
    <col min="9996" max="9996" width="11.6" style="1603" customWidth="1"/>
    <col min="9997" max="10240" width="9" style="1603"/>
    <col min="10241" max="10241" width="4.6" style="1603" customWidth="1"/>
    <col min="10242" max="10243" width="20.1" style="1603" customWidth="1"/>
    <col min="10244" max="10244" width="18" style="1603" customWidth="1"/>
    <col min="10245" max="10245" width="17.1" style="1603" customWidth="1"/>
    <col min="10246" max="10246" width="15.1" style="1603" customWidth="1"/>
    <col min="10247" max="10247" width="13" style="1603" customWidth="1"/>
    <col min="10248" max="10248" width="14.6" style="1603" customWidth="1"/>
    <col min="10249" max="10249" width="12.5" style="1603" customWidth="1"/>
    <col min="10250" max="10251" width="12.6" style="1603" customWidth="1"/>
    <col min="10252" max="10252" width="11.6" style="1603" customWidth="1"/>
    <col min="10253" max="10496" width="9" style="1603"/>
    <col min="10497" max="10497" width="4.6" style="1603" customWidth="1"/>
    <col min="10498" max="10499" width="20.1" style="1603" customWidth="1"/>
    <col min="10500" max="10500" width="18" style="1603" customWidth="1"/>
    <col min="10501" max="10501" width="17.1" style="1603" customWidth="1"/>
    <col min="10502" max="10502" width="15.1" style="1603" customWidth="1"/>
    <col min="10503" max="10503" width="13" style="1603" customWidth="1"/>
    <col min="10504" max="10504" width="14.6" style="1603" customWidth="1"/>
    <col min="10505" max="10505" width="12.5" style="1603" customWidth="1"/>
    <col min="10506" max="10507" width="12.6" style="1603" customWidth="1"/>
    <col min="10508" max="10508" width="11.6" style="1603" customWidth="1"/>
    <col min="10509" max="10752" width="9" style="1603"/>
    <col min="10753" max="10753" width="4.6" style="1603" customWidth="1"/>
    <col min="10754" max="10755" width="20.1" style="1603" customWidth="1"/>
    <col min="10756" max="10756" width="18" style="1603" customWidth="1"/>
    <col min="10757" max="10757" width="17.1" style="1603" customWidth="1"/>
    <col min="10758" max="10758" width="15.1" style="1603" customWidth="1"/>
    <col min="10759" max="10759" width="13" style="1603" customWidth="1"/>
    <col min="10760" max="10760" width="14.6" style="1603" customWidth="1"/>
    <col min="10761" max="10761" width="12.5" style="1603" customWidth="1"/>
    <col min="10762" max="10763" width="12.6" style="1603" customWidth="1"/>
    <col min="10764" max="10764" width="11.6" style="1603" customWidth="1"/>
    <col min="10765" max="11008" width="9" style="1603"/>
    <col min="11009" max="11009" width="4.6" style="1603" customWidth="1"/>
    <col min="11010" max="11011" width="20.1" style="1603" customWidth="1"/>
    <col min="11012" max="11012" width="18" style="1603" customWidth="1"/>
    <col min="11013" max="11013" width="17.1" style="1603" customWidth="1"/>
    <col min="11014" max="11014" width="15.1" style="1603" customWidth="1"/>
    <col min="11015" max="11015" width="13" style="1603" customWidth="1"/>
    <col min="11016" max="11016" width="14.6" style="1603" customWidth="1"/>
    <col min="11017" max="11017" width="12.5" style="1603" customWidth="1"/>
    <col min="11018" max="11019" width="12.6" style="1603" customWidth="1"/>
    <col min="11020" max="11020" width="11.6" style="1603" customWidth="1"/>
    <col min="11021" max="11264" width="9" style="1603"/>
    <col min="11265" max="11265" width="4.6" style="1603" customWidth="1"/>
    <col min="11266" max="11267" width="20.1" style="1603" customWidth="1"/>
    <col min="11268" max="11268" width="18" style="1603" customWidth="1"/>
    <col min="11269" max="11269" width="17.1" style="1603" customWidth="1"/>
    <col min="11270" max="11270" width="15.1" style="1603" customWidth="1"/>
    <col min="11271" max="11271" width="13" style="1603" customWidth="1"/>
    <col min="11272" max="11272" width="14.6" style="1603" customWidth="1"/>
    <col min="11273" max="11273" width="12.5" style="1603" customWidth="1"/>
    <col min="11274" max="11275" width="12.6" style="1603" customWidth="1"/>
    <col min="11276" max="11276" width="11.6" style="1603" customWidth="1"/>
    <col min="11277" max="11520" width="9" style="1603"/>
    <col min="11521" max="11521" width="4.6" style="1603" customWidth="1"/>
    <col min="11522" max="11523" width="20.1" style="1603" customWidth="1"/>
    <col min="11524" max="11524" width="18" style="1603" customWidth="1"/>
    <col min="11525" max="11525" width="17.1" style="1603" customWidth="1"/>
    <col min="11526" max="11526" width="15.1" style="1603" customWidth="1"/>
    <col min="11527" max="11527" width="13" style="1603" customWidth="1"/>
    <col min="11528" max="11528" width="14.6" style="1603" customWidth="1"/>
    <col min="11529" max="11529" width="12.5" style="1603" customWidth="1"/>
    <col min="11530" max="11531" width="12.6" style="1603" customWidth="1"/>
    <col min="11532" max="11532" width="11.6" style="1603" customWidth="1"/>
    <col min="11533" max="11776" width="9" style="1603"/>
    <col min="11777" max="11777" width="4.6" style="1603" customWidth="1"/>
    <col min="11778" max="11779" width="20.1" style="1603" customWidth="1"/>
    <col min="11780" max="11780" width="18" style="1603" customWidth="1"/>
    <col min="11781" max="11781" width="17.1" style="1603" customWidth="1"/>
    <col min="11782" max="11782" width="15.1" style="1603" customWidth="1"/>
    <col min="11783" max="11783" width="13" style="1603" customWidth="1"/>
    <col min="11784" max="11784" width="14.6" style="1603" customWidth="1"/>
    <col min="11785" max="11785" width="12.5" style="1603" customWidth="1"/>
    <col min="11786" max="11787" width="12.6" style="1603" customWidth="1"/>
    <col min="11788" max="11788" width="11.6" style="1603" customWidth="1"/>
    <col min="11789" max="12032" width="9" style="1603"/>
    <col min="12033" max="12033" width="4.6" style="1603" customWidth="1"/>
    <col min="12034" max="12035" width="20.1" style="1603" customWidth="1"/>
    <col min="12036" max="12036" width="18" style="1603" customWidth="1"/>
    <col min="12037" max="12037" width="17.1" style="1603" customWidth="1"/>
    <col min="12038" max="12038" width="15.1" style="1603" customWidth="1"/>
    <col min="12039" max="12039" width="13" style="1603" customWidth="1"/>
    <col min="12040" max="12040" width="14.6" style="1603" customWidth="1"/>
    <col min="12041" max="12041" width="12.5" style="1603" customWidth="1"/>
    <col min="12042" max="12043" width="12.6" style="1603" customWidth="1"/>
    <col min="12044" max="12044" width="11.6" style="1603" customWidth="1"/>
    <col min="12045" max="12288" width="9" style="1603"/>
    <col min="12289" max="12289" width="4.6" style="1603" customWidth="1"/>
    <col min="12290" max="12291" width="20.1" style="1603" customWidth="1"/>
    <col min="12292" max="12292" width="18" style="1603" customWidth="1"/>
    <col min="12293" max="12293" width="17.1" style="1603" customWidth="1"/>
    <col min="12294" max="12294" width="15.1" style="1603" customWidth="1"/>
    <col min="12295" max="12295" width="13" style="1603" customWidth="1"/>
    <col min="12296" max="12296" width="14.6" style="1603" customWidth="1"/>
    <col min="12297" max="12297" width="12.5" style="1603" customWidth="1"/>
    <col min="12298" max="12299" width="12.6" style="1603" customWidth="1"/>
    <col min="12300" max="12300" width="11.6" style="1603" customWidth="1"/>
    <col min="12301" max="12544" width="9" style="1603"/>
    <col min="12545" max="12545" width="4.6" style="1603" customWidth="1"/>
    <col min="12546" max="12547" width="20.1" style="1603" customWidth="1"/>
    <col min="12548" max="12548" width="18" style="1603" customWidth="1"/>
    <col min="12549" max="12549" width="17.1" style="1603" customWidth="1"/>
    <col min="12550" max="12550" width="15.1" style="1603" customWidth="1"/>
    <col min="12551" max="12551" width="13" style="1603" customWidth="1"/>
    <col min="12552" max="12552" width="14.6" style="1603" customWidth="1"/>
    <col min="12553" max="12553" width="12.5" style="1603" customWidth="1"/>
    <col min="12554" max="12555" width="12.6" style="1603" customWidth="1"/>
    <col min="12556" max="12556" width="11.6" style="1603" customWidth="1"/>
    <col min="12557" max="12800" width="9" style="1603"/>
    <col min="12801" max="12801" width="4.6" style="1603" customWidth="1"/>
    <col min="12802" max="12803" width="20.1" style="1603" customWidth="1"/>
    <col min="12804" max="12804" width="18" style="1603" customWidth="1"/>
    <col min="12805" max="12805" width="17.1" style="1603" customWidth="1"/>
    <col min="12806" max="12806" width="15.1" style="1603" customWidth="1"/>
    <col min="12807" max="12807" width="13" style="1603" customWidth="1"/>
    <col min="12808" max="12808" width="14.6" style="1603" customWidth="1"/>
    <col min="12809" max="12809" width="12.5" style="1603" customWidth="1"/>
    <col min="12810" max="12811" width="12.6" style="1603" customWidth="1"/>
    <col min="12812" max="12812" width="11.6" style="1603" customWidth="1"/>
    <col min="12813" max="13056" width="9" style="1603"/>
    <col min="13057" max="13057" width="4.6" style="1603" customWidth="1"/>
    <col min="13058" max="13059" width="20.1" style="1603" customWidth="1"/>
    <col min="13060" max="13060" width="18" style="1603" customWidth="1"/>
    <col min="13061" max="13061" width="17.1" style="1603" customWidth="1"/>
    <col min="13062" max="13062" width="15.1" style="1603" customWidth="1"/>
    <col min="13063" max="13063" width="13" style="1603" customWidth="1"/>
    <col min="13064" max="13064" width="14.6" style="1603" customWidth="1"/>
    <col min="13065" max="13065" width="12.5" style="1603" customWidth="1"/>
    <col min="13066" max="13067" width="12.6" style="1603" customWidth="1"/>
    <col min="13068" max="13068" width="11.6" style="1603" customWidth="1"/>
    <col min="13069" max="13312" width="9" style="1603"/>
    <col min="13313" max="13313" width="4.6" style="1603" customWidth="1"/>
    <col min="13314" max="13315" width="20.1" style="1603" customWidth="1"/>
    <col min="13316" max="13316" width="18" style="1603" customWidth="1"/>
    <col min="13317" max="13317" width="17.1" style="1603" customWidth="1"/>
    <col min="13318" max="13318" width="15.1" style="1603" customWidth="1"/>
    <col min="13319" max="13319" width="13" style="1603" customWidth="1"/>
    <col min="13320" max="13320" width="14.6" style="1603" customWidth="1"/>
    <col min="13321" max="13321" width="12.5" style="1603" customWidth="1"/>
    <col min="13322" max="13323" width="12.6" style="1603" customWidth="1"/>
    <col min="13324" max="13324" width="11.6" style="1603" customWidth="1"/>
    <col min="13325" max="13568" width="9" style="1603"/>
    <col min="13569" max="13569" width="4.6" style="1603" customWidth="1"/>
    <col min="13570" max="13571" width="20.1" style="1603" customWidth="1"/>
    <col min="13572" max="13572" width="18" style="1603" customWidth="1"/>
    <col min="13573" max="13573" width="17.1" style="1603" customWidth="1"/>
    <col min="13574" max="13574" width="15.1" style="1603" customWidth="1"/>
    <col min="13575" max="13575" width="13" style="1603" customWidth="1"/>
    <col min="13576" max="13576" width="14.6" style="1603" customWidth="1"/>
    <col min="13577" max="13577" width="12.5" style="1603" customWidth="1"/>
    <col min="13578" max="13579" width="12.6" style="1603" customWidth="1"/>
    <col min="13580" max="13580" width="11.6" style="1603" customWidth="1"/>
    <col min="13581" max="13824" width="9" style="1603"/>
    <col min="13825" max="13825" width="4.6" style="1603" customWidth="1"/>
    <col min="13826" max="13827" width="20.1" style="1603" customWidth="1"/>
    <col min="13828" max="13828" width="18" style="1603" customWidth="1"/>
    <col min="13829" max="13829" width="17.1" style="1603" customWidth="1"/>
    <col min="13830" max="13830" width="15.1" style="1603" customWidth="1"/>
    <col min="13831" max="13831" width="13" style="1603" customWidth="1"/>
    <col min="13832" max="13832" width="14.6" style="1603" customWidth="1"/>
    <col min="13833" max="13833" width="12.5" style="1603" customWidth="1"/>
    <col min="13834" max="13835" width="12.6" style="1603" customWidth="1"/>
    <col min="13836" max="13836" width="11.6" style="1603" customWidth="1"/>
    <col min="13837" max="14080" width="9" style="1603"/>
    <col min="14081" max="14081" width="4.6" style="1603" customWidth="1"/>
    <col min="14082" max="14083" width="20.1" style="1603" customWidth="1"/>
    <col min="14084" max="14084" width="18" style="1603" customWidth="1"/>
    <col min="14085" max="14085" width="17.1" style="1603" customWidth="1"/>
    <col min="14086" max="14086" width="15.1" style="1603" customWidth="1"/>
    <col min="14087" max="14087" width="13" style="1603" customWidth="1"/>
    <col min="14088" max="14088" width="14.6" style="1603" customWidth="1"/>
    <col min="14089" max="14089" width="12.5" style="1603" customWidth="1"/>
    <col min="14090" max="14091" width="12.6" style="1603" customWidth="1"/>
    <col min="14092" max="14092" width="11.6" style="1603" customWidth="1"/>
    <col min="14093" max="14336" width="9" style="1603"/>
    <col min="14337" max="14337" width="4.6" style="1603" customWidth="1"/>
    <col min="14338" max="14339" width="20.1" style="1603" customWidth="1"/>
    <col min="14340" max="14340" width="18" style="1603" customWidth="1"/>
    <col min="14341" max="14341" width="17.1" style="1603" customWidth="1"/>
    <col min="14342" max="14342" width="15.1" style="1603" customWidth="1"/>
    <col min="14343" max="14343" width="13" style="1603" customWidth="1"/>
    <col min="14344" max="14344" width="14.6" style="1603" customWidth="1"/>
    <col min="14345" max="14345" width="12.5" style="1603" customWidth="1"/>
    <col min="14346" max="14347" width="12.6" style="1603" customWidth="1"/>
    <col min="14348" max="14348" width="11.6" style="1603" customWidth="1"/>
    <col min="14349" max="14592" width="9" style="1603"/>
    <col min="14593" max="14593" width="4.6" style="1603" customWidth="1"/>
    <col min="14594" max="14595" width="20.1" style="1603" customWidth="1"/>
    <col min="14596" max="14596" width="18" style="1603" customWidth="1"/>
    <col min="14597" max="14597" width="17.1" style="1603" customWidth="1"/>
    <col min="14598" max="14598" width="15.1" style="1603" customWidth="1"/>
    <col min="14599" max="14599" width="13" style="1603" customWidth="1"/>
    <col min="14600" max="14600" width="14.6" style="1603" customWidth="1"/>
    <col min="14601" max="14601" width="12.5" style="1603" customWidth="1"/>
    <col min="14602" max="14603" width="12.6" style="1603" customWidth="1"/>
    <col min="14604" max="14604" width="11.6" style="1603" customWidth="1"/>
    <col min="14605" max="14848" width="9" style="1603"/>
    <col min="14849" max="14849" width="4.6" style="1603" customWidth="1"/>
    <col min="14850" max="14851" width="20.1" style="1603" customWidth="1"/>
    <col min="14852" max="14852" width="18" style="1603" customWidth="1"/>
    <col min="14853" max="14853" width="17.1" style="1603" customWidth="1"/>
    <col min="14854" max="14854" width="15.1" style="1603" customWidth="1"/>
    <col min="14855" max="14855" width="13" style="1603" customWidth="1"/>
    <col min="14856" max="14856" width="14.6" style="1603" customWidth="1"/>
    <col min="14857" max="14857" width="12.5" style="1603" customWidth="1"/>
    <col min="14858" max="14859" width="12.6" style="1603" customWidth="1"/>
    <col min="14860" max="14860" width="11.6" style="1603" customWidth="1"/>
    <col min="14861" max="15104" width="9" style="1603"/>
    <col min="15105" max="15105" width="4.6" style="1603" customWidth="1"/>
    <col min="15106" max="15107" width="20.1" style="1603" customWidth="1"/>
    <col min="15108" max="15108" width="18" style="1603" customWidth="1"/>
    <col min="15109" max="15109" width="17.1" style="1603" customWidth="1"/>
    <col min="15110" max="15110" width="15.1" style="1603" customWidth="1"/>
    <col min="15111" max="15111" width="13" style="1603" customWidth="1"/>
    <col min="15112" max="15112" width="14.6" style="1603" customWidth="1"/>
    <col min="15113" max="15113" width="12.5" style="1603" customWidth="1"/>
    <col min="15114" max="15115" width="12.6" style="1603" customWidth="1"/>
    <col min="15116" max="15116" width="11.6" style="1603" customWidth="1"/>
    <col min="15117" max="15360" width="9" style="1603"/>
    <col min="15361" max="15361" width="4.6" style="1603" customWidth="1"/>
    <col min="15362" max="15363" width="20.1" style="1603" customWidth="1"/>
    <col min="15364" max="15364" width="18" style="1603" customWidth="1"/>
    <col min="15365" max="15365" width="17.1" style="1603" customWidth="1"/>
    <col min="15366" max="15366" width="15.1" style="1603" customWidth="1"/>
    <col min="15367" max="15367" width="13" style="1603" customWidth="1"/>
    <col min="15368" max="15368" width="14.6" style="1603" customWidth="1"/>
    <col min="15369" max="15369" width="12.5" style="1603" customWidth="1"/>
    <col min="15370" max="15371" width="12.6" style="1603" customWidth="1"/>
    <col min="15372" max="15372" width="11.6" style="1603" customWidth="1"/>
    <col min="15373" max="15616" width="9" style="1603"/>
    <col min="15617" max="15617" width="4.6" style="1603" customWidth="1"/>
    <col min="15618" max="15619" width="20.1" style="1603" customWidth="1"/>
    <col min="15620" max="15620" width="18" style="1603" customWidth="1"/>
    <col min="15621" max="15621" width="17.1" style="1603" customWidth="1"/>
    <col min="15622" max="15622" width="15.1" style="1603" customWidth="1"/>
    <col min="15623" max="15623" width="13" style="1603" customWidth="1"/>
    <col min="15624" max="15624" width="14.6" style="1603" customWidth="1"/>
    <col min="15625" max="15625" width="12.5" style="1603" customWidth="1"/>
    <col min="15626" max="15627" width="12.6" style="1603" customWidth="1"/>
    <col min="15628" max="15628" width="11.6" style="1603" customWidth="1"/>
    <col min="15629" max="15872" width="9" style="1603"/>
    <col min="15873" max="15873" width="4.6" style="1603" customWidth="1"/>
    <col min="15874" max="15875" width="20.1" style="1603" customWidth="1"/>
    <col min="15876" max="15876" width="18" style="1603" customWidth="1"/>
    <col min="15877" max="15877" width="17.1" style="1603" customWidth="1"/>
    <col min="15878" max="15878" width="15.1" style="1603" customWidth="1"/>
    <col min="15879" max="15879" width="13" style="1603" customWidth="1"/>
    <col min="15880" max="15880" width="14.6" style="1603" customWidth="1"/>
    <col min="15881" max="15881" width="12.5" style="1603" customWidth="1"/>
    <col min="15882" max="15883" width="12.6" style="1603" customWidth="1"/>
    <col min="15884" max="15884" width="11.6" style="1603" customWidth="1"/>
    <col min="15885" max="16128" width="9" style="1603"/>
    <col min="16129" max="16129" width="4.6" style="1603" customWidth="1"/>
    <col min="16130" max="16131" width="20.1" style="1603" customWidth="1"/>
    <col min="16132" max="16132" width="18" style="1603" customWidth="1"/>
    <col min="16133" max="16133" width="17.1" style="1603" customWidth="1"/>
    <col min="16134" max="16134" width="15.1" style="1603" customWidth="1"/>
    <col min="16135" max="16135" width="13" style="1603" customWidth="1"/>
    <col min="16136" max="16136" width="14.6" style="1603" customWidth="1"/>
    <col min="16137" max="16137" width="12.5" style="1603" customWidth="1"/>
    <col min="16138" max="16139" width="12.6" style="1603" customWidth="1"/>
    <col min="16140" max="16140" width="11.6" style="1603" customWidth="1"/>
    <col min="16141" max="16384" width="9" style="1603"/>
  </cols>
  <sheetData>
    <row r="1" customHeight="1" spans="2:11">
      <c r="B1" s="1605" t="s">
        <v>164</v>
      </c>
      <c r="F1" s="1606" t="s">
        <v>165</v>
      </c>
      <c r="K1" s="1684" t="s">
        <v>166</v>
      </c>
    </row>
    <row r="2" customHeight="1" spans="2:10">
      <c r="B2" s="1607" t="s">
        <v>167</v>
      </c>
      <c r="C2" s="1608">
        <v>65262.6</v>
      </c>
      <c r="D2" s="1609" t="s">
        <v>168</v>
      </c>
      <c r="E2" s="1610"/>
      <c r="F2" s="1611"/>
      <c r="G2" s="1612" t="s">
        <v>169</v>
      </c>
      <c r="H2" s="1613" t="s">
        <v>170</v>
      </c>
      <c r="I2" s="1613" t="s">
        <v>171</v>
      </c>
      <c r="J2" s="1613" t="s">
        <v>172</v>
      </c>
    </row>
    <row r="3" customHeight="1" spans="2:13">
      <c r="B3" s="1607" t="s">
        <v>173</v>
      </c>
      <c r="C3" s="1614">
        <v>3.18712401896339</v>
      </c>
      <c r="D3" s="1609"/>
      <c r="F3" s="1615" t="s">
        <v>174</v>
      </c>
      <c r="G3" s="1616">
        <v>377.514635743392</v>
      </c>
      <c r="H3" s="1616">
        <v>0</v>
      </c>
      <c r="I3" s="1685">
        <v>377.514635743392</v>
      </c>
      <c r="J3" s="1648">
        <v>0</v>
      </c>
      <c r="K3" s="1686" t="s">
        <v>175</v>
      </c>
      <c r="L3" s="1687" t="s">
        <v>176</v>
      </c>
      <c r="M3" s="1688">
        <v>6216.27780193206</v>
      </c>
    </row>
    <row r="4" customHeight="1" spans="2:13">
      <c r="B4" s="1607" t="s">
        <v>177</v>
      </c>
      <c r="C4" s="1608">
        <v>208000</v>
      </c>
      <c r="D4" s="1609" t="s">
        <v>168</v>
      </c>
      <c r="F4" s="1615" t="s">
        <v>88</v>
      </c>
      <c r="G4" s="1616">
        <v>36956.38</v>
      </c>
      <c r="H4" s="1616">
        <v>0</v>
      </c>
      <c r="I4" s="1689">
        <v>42235.8628571429</v>
      </c>
      <c r="J4" s="1648">
        <v>0.142857142857143</v>
      </c>
      <c r="K4" s="1686"/>
      <c r="L4" s="1690" t="s">
        <v>178</v>
      </c>
      <c r="M4" s="1691">
        <v>6216.27780193206</v>
      </c>
    </row>
    <row r="5" customHeight="1" spans="2:10">
      <c r="B5" s="1607" t="s">
        <v>179</v>
      </c>
      <c r="C5" s="1608">
        <v>377.514635743392</v>
      </c>
      <c r="D5" s="1609" t="s">
        <v>180</v>
      </c>
      <c r="F5" s="1617" t="s">
        <v>181</v>
      </c>
      <c r="G5" s="1618">
        <v>1776.74903846154</v>
      </c>
      <c r="H5" s="1616">
        <v>0</v>
      </c>
      <c r="I5" s="1616">
        <v>1776.74903846154</v>
      </c>
      <c r="J5" s="1648">
        <v>0</v>
      </c>
    </row>
    <row r="6" ht="18" customHeight="1" spans="2:11">
      <c r="B6" s="1619" t="s">
        <v>182</v>
      </c>
      <c r="F6" s="1620" t="s">
        <v>183</v>
      </c>
      <c r="G6" s="1621"/>
      <c r="H6" s="1621">
        <v>0</v>
      </c>
      <c r="I6" s="1621">
        <v>1776.74903846154</v>
      </c>
      <c r="J6" s="1692"/>
      <c r="K6" s="1603">
        <v>13000</v>
      </c>
    </row>
    <row r="7" ht="18" customHeight="1" spans="2:6">
      <c r="B7" s="1613"/>
      <c r="C7" s="1613" t="s">
        <v>184</v>
      </c>
      <c r="D7" s="1622" t="s">
        <v>185</v>
      </c>
      <c r="F7" s="1605" t="s">
        <v>186</v>
      </c>
    </row>
    <row r="8" ht="21" customHeight="1" spans="2:11">
      <c r="B8" s="1623" t="s">
        <v>187</v>
      </c>
      <c r="C8" s="1624" t="s">
        <v>188</v>
      </c>
      <c r="D8" s="1625">
        <v>0.384601416375824</v>
      </c>
      <c r="F8" s="1626"/>
      <c r="G8" s="1627" t="s">
        <v>189</v>
      </c>
      <c r="H8" s="1628" t="s">
        <v>190</v>
      </c>
      <c r="I8" s="1628" t="s">
        <v>191</v>
      </c>
      <c r="J8" s="1628" t="s">
        <v>192</v>
      </c>
      <c r="K8" s="1628" t="s">
        <v>193</v>
      </c>
    </row>
    <row r="9" ht="18.75" customHeight="1" spans="2:12">
      <c r="B9" s="1629"/>
      <c r="C9" s="1624" t="s">
        <v>194</v>
      </c>
      <c r="D9" s="1625">
        <v>0.263259468063036</v>
      </c>
      <c r="F9" s="1615" t="s">
        <v>195</v>
      </c>
      <c r="G9" s="1630">
        <v>12173.9130434783</v>
      </c>
      <c r="H9" s="1631">
        <v>0</v>
      </c>
      <c r="I9" s="1693">
        <v>12173.9130434783</v>
      </c>
      <c r="J9" s="1694">
        <v>187200</v>
      </c>
      <c r="K9" s="1694">
        <v>227895.652173913</v>
      </c>
      <c r="L9" s="1695"/>
    </row>
    <row r="10" ht="18" customHeight="1" spans="2:12">
      <c r="B10" s="1629"/>
      <c r="C10" s="1624" t="s">
        <v>196</v>
      </c>
      <c r="D10" s="1625">
        <v>0.147395318073849</v>
      </c>
      <c r="F10" s="1632" t="s">
        <v>63</v>
      </c>
      <c r="G10" s="1633">
        <v>12000</v>
      </c>
      <c r="H10" s="1631">
        <v>0</v>
      </c>
      <c r="I10" s="1693">
        <v>12000</v>
      </c>
      <c r="J10" s="1696">
        <v>13190</v>
      </c>
      <c r="K10" s="1696">
        <v>15828</v>
      </c>
      <c r="L10" s="1642">
        <v>0.00481162824324226</v>
      </c>
    </row>
    <row r="11" ht="18" customHeight="1" spans="2:11">
      <c r="B11" s="1629"/>
      <c r="C11" s="1624" t="s">
        <v>197</v>
      </c>
      <c r="D11" s="1634">
        <v>0.0425983097064064</v>
      </c>
      <c r="F11" s="1632"/>
      <c r="G11" s="1633"/>
      <c r="H11" s="1631"/>
      <c r="I11" s="1693"/>
      <c r="J11" s="1696"/>
      <c r="K11" s="1696"/>
    </row>
    <row r="12" ht="18" customHeight="1" spans="2:11">
      <c r="B12" s="1635"/>
      <c r="C12" s="1624" t="s">
        <v>198</v>
      </c>
      <c r="D12" s="1608">
        <v>23</v>
      </c>
      <c r="F12" s="1615" t="s">
        <v>199</v>
      </c>
      <c r="G12" s="1636">
        <v>20000</v>
      </c>
      <c r="H12" s="1631">
        <v>0</v>
      </c>
      <c r="I12" s="1693">
        <v>20000</v>
      </c>
      <c r="J12" s="1694">
        <v>3000</v>
      </c>
      <c r="K12" s="1694">
        <v>6000</v>
      </c>
    </row>
    <row r="13" ht="18" customHeight="1" spans="2:11">
      <c r="B13" s="1637" t="s">
        <v>200</v>
      </c>
      <c r="C13" s="1638" t="s">
        <v>201</v>
      </c>
      <c r="D13" s="1639">
        <v>256644.546494486</v>
      </c>
      <c r="F13" s="1632" t="s">
        <v>202</v>
      </c>
      <c r="G13" s="1636">
        <v>60000</v>
      </c>
      <c r="H13" s="1631">
        <v>0</v>
      </c>
      <c r="I13" s="1693">
        <v>60000</v>
      </c>
      <c r="J13" s="1693">
        <v>1153.48238676219</v>
      </c>
      <c r="K13" s="1697">
        <v>6920.89432057313</v>
      </c>
    </row>
    <row r="14" ht="18" customHeight="1" spans="2:13">
      <c r="B14" s="1640"/>
      <c r="C14" s="1641" t="s">
        <v>203</v>
      </c>
      <c r="D14" s="1639">
        <v>231211.303148186</v>
      </c>
      <c r="E14" s="1642"/>
      <c r="J14" s="1695"/>
      <c r="K14" s="1695"/>
      <c r="M14" s="1695"/>
    </row>
    <row r="15" ht="18" customHeight="1" spans="2:10">
      <c r="B15" s="1640"/>
      <c r="C15" s="1638" t="s">
        <v>204</v>
      </c>
      <c r="D15" s="1639">
        <v>174558.936607876</v>
      </c>
      <c r="J15" s="1695"/>
    </row>
    <row r="16" ht="18" customHeight="1" spans="2:13">
      <c r="B16" s="1640"/>
      <c r="C16" s="1641" t="s">
        <v>205</v>
      </c>
      <c r="D16" s="1639">
        <v>158974.903960703</v>
      </c>
      <c r="F16" s="1606" t="s">
        <v>206</v>
      </c>
      <c r="G16" s="1643" t="s">
        <v>207</v>
      </c>
      <c r="L16" s="1698" t="s">
        <v>208</v>
      </c>
      <c r="M16" s="1699">
        <v>216951.843688726</v>
      </c>
    </row>
    <row r="17" ht="18" customHeight="1" spans="2:13">
      <c r="B17" s="1640"/>
      <c r="C17" s="1638" t="s">
        <v>209</v>
      </c>
      <c r="D17" s="1639">
        <v>56794.4790569208</v>
      </c>
      <c r="F17" s="1644" t="s">
        <v>210</v>
      </c>
      <c r="G17" s="1645">
        <v>0</v>
      </c>
      <c r="H17" s="1645">
        <v>5000</v>
      </c>
      <c r="I17" s="1645">
        <v>10000</v>
      </c>
      <c r="J17" s="1700">
        <v>15000</v>
      </c>
      <c r="K17" s="1698" t="s">
        <v>211</v>
      </c>
      <c r="L17" s="1698" t="s">
        <v>212</v>
      </c>
      <c r="M17" s="1699">
        <v>182940.991336799</v>
      </c>
    </row>
    <row r="18" ht="18" customHeight="1" spans="2:13">
      <c r="B18" s="1640"/>
      <c r="C18" s="1638" t="s">
        <v>213</v>
      </c>
      <c r="D18" s="1639">
        <v>34079.463569796</v>
      </c>
      <c r="F18" s="1646" t="s">
        <v>214</v>
      </c>
      <c r="G18" s="1616">
        <v>0</v>
      </c>
      <c r="H18" s="1616">
        <v>240.384615384615</v>
      </c>
      <c r="I18" s="1616">
        <v>480.769230769231</v>
      </c>
      <c r="J18" s="1616">
        <v>721.153846153846</v>
      </c>
      <c r="M18" s="1701"/>
    </row>
    <row r="19" ht="18" customHeight="1" spans="2:13">
      <c r="B19" s="1647"/>
      <c r="C19" s="1638" t="s">
        <v>215</v>
      </c>
      <c r="D19" s="1608">
        <v>102271.741193381</v>
      </c>
      <c r="F19" s="1644" t="s">
        <v>216</v>
      </c>
      <c r="G19" s="1648">
        <v>0</v>
      </c>
      <c r="H19" s="1648">
        <v>0.135294636541782</v>
      </c>
      <c r="I19" s="1648">
        <v>0.270589273083565</v>
      </c>
      <c r="J19" s="1648">
        <v>0.405883909625347</v>
      </c>
      <c r="L19" s="1702"/>
      <c r="M19" s="1701"/>
    </row>
    <row r="20" ht="18" customHeight="1" spans="2:10">
      <c r="B20" s="1637" t="s">
        <v>217</v>
      </c>
      <c r="C20" s="1638" t="s">
        <v>218</v>
      </c>
      <c r="D20" s="1649">
        <v>0.790748957606052</v>
      </c>
      <c r="F20" s="1632" t="s">
        <v>219</v>
      </c>
      <c r="G20" s="1650">
        <v>0.0425983097064064</v>
      </c>
      <c r="H20" s="1650">
        <v>0.044977086143852</v>
      </c>
      <c r="I20" s="1650">
        <v>0.0473558625812977</v>
      </c>
      <c r="J20" s="1650">
        <v>0.0497346390187433</v>
      </c>
    </row>
    <row r="21" ht="18" customHeight="1" spans="2:10">
      <c r="B21" s="1640"/>
      <c r="C21" s="1638" t="s">
        <v>220</v>
      </c>
      <c r="D21" s="1651">
        <v>2.36427598472792</v>
      </c>
      <c r="F21" s="1632" t="s">
        <v>221</v>
      </c>
      <c r="G21" s="1616">
        <v>10185.9292266341</v>
      </c>
      <c r="H21" s="1616">
        <v>11566.5280761351</v>
      </c>
      <c r="I21" s="1616">
        <v>12947.126925636</v>
      </c>
      <c r="J21" s="1616">
        <v>14327.725775137</v>
      </c>
    </row>
    <row r="22" ht="18" customHeight="1" spans="2:11">
      <c r="B22" s="1640"/>
      <c r="C22" s="1638" t="s">
        <v>222</v>
      </c>
      <c r="D22" s="1625"/>
      <c r="F22" s="1632" t="s">
        <v>223</v>
      </c>
      <c r="G22" s="1650">
        <v>0.0440546335232834</v>
      </c>
      <c r="H22" s="1650">
        <v>0.0500257899101151</v>
      </c>
      <c r="I22" s="1650">
        <v>0.0559969462969467</v>
      </c>
      <c r="J22" s="1650">
        <v>0.0619681026837784</v>
      </c>
      <c r="K22" s="1663"/>
    </row>
    <row r="23" ht="18" customHeight="1" spans="2:11">
      <c r="B23" s="1647"/>
      <c r="C23" s="1638" t="s">
        <v>224</v>
      </c>
      <c r="D23" s="1651"/>
      <c r="F23" s="1632" t="s">
        <v>225</v>
      </c>
      <c r="G23" s="1650">
        <v>0.263259468063036</v>
      </c>
      <c r="H23" s="1650">
        <v>0.249503225153655</v>
      </c>
      <c r="I23" s="1650">
        <v>0.235746982244274</v>
      </c>
      <c r="J23" s="1650">
        <v>0.221990739334893</v>
      </c>
      <c r="K23" s="1663"/>
    </row>
    <row r="24" ht="18" customHeight="1" spans="2:11">
      <c r="B24" s="1652"/>
      <c r="C24" s="1653"/>
      <c r="D24" s="1654"/>
      <c r="F24" s="1655"/>
      <c r="G24" s="1656"/>
      <c r="H24" s="1653"/>
      <c r="I24" s="1655"/>
      <c r="J24" s="1663"/>
      <c r="K24" s="1663"/>
    </row>
    <row r="25" ht="18" customHeight="1" spans="2:12">
      <c r="B25" s="1605" t="s">
        <v>226</v>
      </c>
      <c r="C25" s="1603"/>
      <c r="E25" s="1657"/>
      <c r="F25" s="1658"/>
      <c r="G25" s="1655"/>
      <c r="H25" s="1656"/>
      <c r="I25" s="1653"/>
      <c r="J25" s="1655"/>
      <c r="K25" s="1663"/>
      <c r="L25" s="1663"/>
    </row>
    <row r="26" ht="18" customHeight="1" spans="2:16">
      <c r="B26" s="1613"/>
      <c r="C26" s="1613" t="s">
        <v>227</v>
      </c>
      <c r="D26" s="1613" t="s">
        <v>228</v>
      </c>
      <c r="E26" s="1613" t="s">
        <v>229</v>
      </c>
      <c r="F26" s="1613" t="s">
        <v>230</v>
      </c>
      <c r="G26" s="1613" t="s">
        <v>231</v>
      </c>
      <c r="H26" s="1613" t="s">
        <v>232</v>
      </c>
      <c r="I26" s="1613" t="s">
        <v>233</v>
      </c>
      <c r="J26" s="1628" t="s">
        <v>2</v>
      </c>
      <c r="K26" s="1655"/>
      <c r="L26" s="1663"/>
      <c r="M26" s="1703"/>
      <c r="N26" s="1703"/>
      <c r="O26" s="1702"/>
      <c r="P26" s="1701"/>
    </row>
    <row r="27" ht="18" customHeight="1" spans="2:16">
      <c r="B27" s="1644" t="s">
        <v>234</v>
      </c>
      <c r="C27" s="1659">
        <v>0</v>
      </c>
      <c r="D27" s="1659">
        <v>0</v>
      </c>
      <c r="E27" s="1659">
        <v>23544.1852983453</v>
      </c>
      <c r="F27" s="1659">
        <v>94176.7411933811</v>
      </c>
      <c r="G27" s="1659">
        <v>86822.5558950358</v>
      </c>
      <c r="H27" s="1659">
        <v>0</v>
      </c>
      <c r="I27" s="1659">
        <v>0</v>
      </c>
      <c r="J27" s="1704">
        <v>204543.482386762</v>
      </c>
      <c r="K27" s="1655"/>
      <c r="L27" s="1663"/>
      <c r="M27" s="1703"/>
      <c r="N27" s="1703"/>
      <c r="O27" s="1702"/>
      <c r="P27" s="1701"/>
    </row>
    <row r="28" ht="18" customHeight="1" spans="2:16">
      <c r="B28" s="1660" t="s">
        <v>235</v>
      </c>
      <c r="C28" s="1659">
        <v>0</v>
      </c>
      <c r="D28" s="1659">
        <v>0</v>
      </c>
      <c r="E28" s="1659">
        <v>26443.3047854151</v>
      </c>
      <c r="F28" s="1659">
        <v>105773.21914166</v>
      </c>
      <c r="G28" s="1659">
        <v>98994.7792211102</v>
      </c>
      <c r="H28" s="1659">
        <v>0</v>
      </c>
      <c r="I28" s="1659">
        <v>0</v>
      </c>
      <c r="J28" s="1704">
        <v>231211.303148186</v>
      </c>
      <c r="K28" s="1655"/>
      <c r="L28" s="1701"/>
      <c r="M28" s="1703"/>
      <c r="N28" s="1703"/>
      <c r="O28" s="1702"/>
      <c r="P28" s="1701"/>
    </row>
    <row r="29" ht="18" customHeight="1" spans="2:16">
      <c r="B29" s="1644" t="s">
        <v>236</v>
      </c>
      <c r="C29" s="1659">
        <v>0</v>
      </c>
      <c r="D29" s="1659">
        <v>0</v>
      </c>
      <c r="E29" s="1659">
        <v>7163.69547411543</v>
      </c>
      <c r="F29" s="1659">
        <v>28555.3199002897</v>
      </c>
      <c r="G29" s="1659">
        <v>25149.5493025476</v>
      </c>
      <c r="H29" s="1659">
        <v>0</v>
      </c>
      <c r="I29" s="1659">
        <v>0</v>
      </c>
      <c r="J29" s="1704">
        <v>60868.5646769527</v>
      </c>
      <c r="K29" s="1655"/>
      <c r="L29" s="1701"/>
      <c r="M29" s="1703"/>
      <c r="N29" s="1703"/>
      <c r="O29" s="1702"/>
      <c r="P29" s="1701"/>
    </row>
    <row r="30" ht="18" customHeight="1" spans="2:16">
      <c r="B30" s="1644" t="s">
        <v>11</v>
      </c>
      <c r="C30" s="1659">
        <v>0</v>
      </c>
      <c r="D30" s="1659">
        <v>0</v>
      </c>
      <c r="E30" s="1659">
        <v>1764.62459194379</v>
      </c>
      <c r="F30" s="1659">
        <v>7058.49836777518</v>
      </c>
      <c r="G30" s="1659">
        <v>6606.15695750584</v>
      </c>
      <c r="H30" s="1659">
        <v>0</v>
      </c>
      <c r="I30" s="1659">
        <v>0</v>
      </c>
      <c r="J30" s="1704">
        <v>15429.2799172248</v>
      </c>
      <c r="K30" s="1702"/>
      <c r="M30" s="1703"/>
      <c r="N30" s="1703"/>
      <c r="O30" s="1702"/>
      <c r="P30" s="1701"/>
    </row>
    <row r="31" ht="18" customHeight="1" spans="2:16">
      <c r="B31" s="1644" t="s">
        <v>237</v>
      </c>
      <c r="C31" s="1659">
        <v>0</v>
      </c>
      <c r="D31" s="1659">
        <v>0</v>
      </c>
      <c r="E31" s="1659">
        <v>4049.30316162872</v>
      </c>
      <c r="F31" s="1659">
        <v>16122.6161493859</v>
      </c>
      <c r="G31" s="1659">
        <v>13907.5442587813</v>
      </c>
      <c r="H31" s="1659">
        <v>0</v>
      </c>
      <c r="I31" s="1659">
        <v>0</v>
      </c>
      <c r="J31" s="1705">
        <v>34079.4635697959</v>
      </c>
      <c r="K31" s="1706"/>
      <c r="M31" s="1703"/>
      <c r="N31" s="1703"/>
      <c r="O31" s="1702"/>
      <c r="P31" s="1701"/>
    </row>
    <row r="32" ht="18" customHeight="1" spans="2:16">
      <c r="B32" s="1661" t="s">
        <v>238</v>
      </c>
      <c r="C32" s="1662" t="e">
        <v>#DIV/0!</v>
      </c>
      <c r="D32" s="1662" t="e">
        <v>#DIV/0!</v>
      </c>
      <c r="E32" s="1662">
        <v>0.270907722474484</v>
      </c>
      <c r="F32" s="1662"/>
      <c r="G32" s="1662"/>
      <c r="H32" s="1659"/>
      <c r="I32" s="1659" t="e">
        <v>#DIV/0!</v>
      </c>
      <c r="J32" s="1662">
        <v>0.263259468063036</v>
      </c>
      <c r="K32" s="1702"/>
      <c r="M32" s="1703"/>
      <c r="N32" s="1703"/>
      <c r="O32" s="1702"/>
      <c r="P32" s="1701"/>
    </row>
    <row r="33" ht="18" customHeight="1" spans="2:16">
      <c r="B33" s="1644" t="s">
        <v>239</v>
      </c>
      <c r="C33" s="1662" t="e">
        <v>#DIV/0!</v>
      </c>
      <c r="D33" s="1662" t="e">
        <v>#DIV/0!</v>
      </c>
      <c r="E33" s="1662">
        <v>0.153131508882435</v>
      </c>
      <c r="F33" s="1662"/>
      <c r="G33" s="1662"/>
      <c r="H33" s="1662"/>
      <c r="I33" s="1662" t="e">
        <v>#DIV/0!</v>
      </c>
      <c r="J33" s="1662">
        <v>0.147395318073849</v>
      </c>
      <c r="K33" s="1702"/>
      <c r="M33" s="1703"/>
      <c r="N33" s="1703"/>
      <c r="O33" s="1702"/>
      <c r="P33" s="1701"/>
    </row>
    <row r="34" ht="18" customHeight="1" spans="2:16">
      <c r="B34" s="1644" t="s">
        <v>240</v>
      </c>
      <c r="C34" s="1659">
        <v>0</v>
      </c>
      <c r="D34" s="1659">
        <v>0</v>
      </c>
      <c r="E34" s="1659">
        <v>0</v>
      </c>
      <c r="F34" s="1659">
        <v>0</v>
      </c>
      <c r="G34" s="1659">
        <v>94176.7411933811</v>
      </c>
      <c r="H34" s="1659">
        <v>110366.741193381</v>
      </c>
      <c r="I34" s="1659">
        <v>0</v>
      </c>
      <c r="J34" s="1704">
        <v>204543.482386762</v>
      </c>
      <c r="K34" s="1702"/>
      <c r="M34" s="1703"/>
      <c r="N34" s="1703"/>
      <c r="O34" s="1702"/>
      <c r="P34" s="1701"/>
    </row>
    <row r="35" ht="18" customHeight="1" spans="2:16">
      <c r="B35" s="1644" t="s">
        <v>241</v>
      </c>
      <c r="C35" s="1659">
        <v>0</v>
      </c>
      <c r="D35" s="1659">
        <v>0</v>
      </c>
      <c r="E35" s="1659">
        <v>0</v>
      </c>
      <c r="F35" s="1659">
        <v>0</v>
      </c>
      <c r="G35" s="1659">
        <v>105773.21914166</v>
      </c>
      <c r="H35" s="1659">
        <v>125438.084006525</v>
      </c>
      <c r="I35" s="1659">
        <v>0</v>
      </c>
      <c r="J35" s="1704">
        <v>231211.303148186</v>
      </c>
      <c r="K35" s="1702"/>
      <c r="M35" s="1703"/>
      <c r="N35" s="1703"/>
      <c r="O35" s="1702"/>
      <c r="P35" s="1701"/>
    </row>
    <row r="36" ht="18" customHeight="1" spans="2:16">
      <c r="B36" s="1644" t="s">
        <v>242</v>
      </c>
      <c r="C36" s="1659">
        <v>0</v>
      </c>
      <c r="D36" s="1659">
        <v>0</v>
      </c>
      <c r="E36" s="1659">
        <v>-1323.46844395785</v>
      </c>
      <c r="F36" s="1659">
        <v>-5293.87377583138</v>
      </c>
      <c r="G36" s="1659">
        <v>16536.4687042169</v>
      </c>
      <c r="H36" s="1659">
        <v>24160.3370853683</v>
      </c>
      <c r="I36" s="1659">
        <v>0</v>
      </c>
      <c r="J36" s="1705">
        <v>34079.463569796</v>
      </c>
      <c r="K36" s="1702"/>
      <c r="M36" s="1703"/>
      <c r="N36" s="1703"/>
      <c r="O36" s="1702"/>
      <c r="P36" s="1701"/>
    </row>
    <row r="37" ht="18" customHeight="1" spans="2:10">
      <c r="B37" s="1605" t="s">
        <v>243</v>
      </c>
      <c r="C37" s="1603"/>
      <c r="F37" s="1655"/>
      <c r="G37" s="1655"/>
      <c r="H37" s="1663"/>
      <c r="I37" s="1703"/>
      <c r="J37" s="1703"/>
    </row>
    <row r="38" ht="18" customHeight="1" spans="2:8">
      <c r="B38" s="1664" t="s">
        <v>244</v>
      </c>
      <c r="C38" s="1665" t="s">
        <v>195</v>
      </c>
      <c r="D38" s="1665" t="s">
        <v>63</v>
      </c>
      <c r="E38" s="1665" t="s">
        <v>245</v>
      </c>
      <c r="F38" s="1665" t="s">
        <v>199</v>
      </c>
      <c r="G38" s="1665" t="s">
        <v>202</v>
      </c>
      <c r="H38" s="1664" t="s">
        <v>2</v>
      </c>
    </row>
    <row r="39" customHeight="1" spans="2:8">
      <c r="B39" s="1666" t="s">
        <v>65</v>
      </c>
      <c r="C39" s="1667">
        <v>187200</v>
      </c>
      <c r="D39" s="1667">
        <v>13190</v>
      </c>
      <c r="E39" s="1667">
        <v>0</v>
      </c>
      <c r="F39" s="1667">
        <v>3000</v>
      </c>
      <c r="G39" s="1667">
        <v>1153.48238676219</v>
      </c>
      <c r="H39" s="1668">
        <v>204543.482386762</v>
      </c>
    </row>
    <row r="40" customHeight="1" spans="2:9">
      <c r="B40" s="1666" t="s">
        <v>246</v>
      </c>
      <c r="C40" s="1667">
        <v>227895.652173913</v>
      </c>
      <c r="D40" s="1667">
        <v>15828</v>
      </c>
      <c r="E40" s="1667">
        <v>0</v>
      </c>
      <c r="F40" s="1667">
        <v>6000</v>
      </c>
      <c r="G40" s="1667">
        <v>6920.89432057313</v>
      </c>
      <c r="H40" s="1668">
        <v>256644.546494486</v>
      </c>
      <c r="I40" s="1707">
        <v>34079.463569796</v>
      </c>
    </row>
    <row r="41" customHeight="1" spans="2:9">
      <c r="B41" s="1666" t="s">
        <v>247</v>
      </c>
      <c r="C41" s="1667">
        <v>205311.398354877</v>
      </c>
      <c r="D41" s="1667">
        <v>14259.4594594595</v>
      </c>
      <c r="E41" s="1667">
        <v>0</v>
      </c>
      <c r="F41" s="1667">
        <v>5405.4054054054</v>
      </c>
      <c r="G41" s="1667">
        <v>6235.03992844426</v>
      </c>
      <c r="H41" s="1668">
        <v>231211.303148186</v>
      </c>
      <c r="I41" s="1695">
        <v>216951.843688726</v>
      </c>
    </row>
    <row r="42" customHeight="1" spans="2:9">
      <c r="B42" s="1666" t="s">
        <v>248</v>
      </c>
      <c r="C42" s="1667">
        <v>12173.9130434783</v>
      </c>
      <c r="D42" s="1667">
        <v>12000</v>
      </c>
      <c r="E42" s="1667" t="e">
        <v>#DIV/0!</v>
      </c>
      <c r="F42" s="1667">
        <v>20000</v>
      </c>
      <c r="G42" s="1667">
        <v>60000</v>
      </c>
      <c r="H42" s="1668">
        <v>12547.1876932851</v>
      </c>
      <c r="I42" s="1642">
        <v>0.157083078854549</v>
      </c>
    </row>
    <row r="43" customHeight="1" spans="2:9">
      <c r="B43" s="1669" t="s">
        <v>249</v>
      </c>
      <c r="C43" s="1670">
        <v>10967.4892283588</v>
      </c>
      <c r="D43" s="1670">
        <v>10810.8108108108</v>
      </c>
      <c r="E43" s="1670" t="e">
        <v>#DIV/0!</v>
      </c>
      <c r="F43" s="1670">
        <v>18018.018018018</v>
      </c>
      <c r="G43" s="1670">
        <v>54054.0540540541</v>
      </c>
      <c r="H43" s="1671">
        <v>11303.7726966533</v>
      </c>
      <c r="I43" s="1708"/>
    </row>
    <row r="44" customHeight="1" spans="2:8">
      <c r="B44" s="1669" t="s">
        <v>250</v>
      </c>
      <c r="C44" s="1670">
        <v>7395.54795954799</v>
      </c>
      <c r="D44" s="1670">
        <v>9488.49392096995</v>
      </c>
      <c r="E44" s="1670">
        <v>0</v>
      </c>
      <c r="F44" s="1670">
        <v>8501.29606751335</v>
      </c>
      <c r="G44" s="1670">
        <v>47374.2288453197</v>
      </c>
      <c r="H44" s="1671">
        <v>7772.18135262335</v>
      </c>
    </row>
    <row r="45" customHeight="1" spans="2:9">
      <c r="B45" s="1666" t="s">
        <v>251</v>
      </c>
      <c r="C45" s="1667">
        <v>138444.657802738</v>
      </c>
      <c r="D45" s="1667">
        <v>12515.3234817594</v>
      </c>
      <c r="E45" s="1667">
        <v>0</v>
      </c>
      <c r="F45" s="1667">
        <v>2550.38882025401</v>
      </c>
      <c r="G45" s="1667">
        <v>5464.53385595174</v>
      </c>
      <c r="H45" s="1668">
        <v>158974.903960703</v>
      </c>
      <c r="I45" s="1695">
        <v>146459.580478944</v>
      </c>
    </row>
    <row r="46" customHeight="1" spans="2:9">
      <c r="B46" s="1666" t="s">
        <v>252</v>
      </c>
      <c r="C46" s="1667">
        <v>10094.4286366821</v>
      </c>
      <c r="D46" s="1667">
        <v>701.086725162603</v>
      </c>
      <c r="E46" s="1667">
        <v>0</v>
      </c>
      <c r="F46" s="1667">
        <v>265.764490205687</v>
      </c>
      <c r="G46" s="1667">
        <v>306.554658479092</v>
      </c>
      <c r="H46" s="1672">
        <v>11367.8345105295</v>
      </c>
      <c r="I46" s="1695">
        <v>10666.7477853669</v>
      </c>
    </row>
    <row r="47" customHeight="1" spans="2:9">
      <c r="B47" s="1673" t="s">
        <v>253</v>
      </c>
      <c r="C47" s="1668">
        <v>13700.9176985779</v>
      </c>
      <c r="D47" s="1668">
        <v>951.567628712816</v>
      </c>
      <c r="E47" s="1668">
        <v>0</v>
      </c>
      <c r="F47" s="1668">
        <v>360.715552961644</v>
      </c>
      <c r="G47" s="1668">
        <v>416.079036972439</v>
      </c>
      <c r="H47" s="1668">
        <v>15429.2799172248</v>
      </c>
      <c r="I47" s="1695">
        <v>14477.712288512</v>
      </c>
    </row>
    <row r="48" customHeight="1" spans="2:9">
      <c r="B48" s="1674" t="s">
        <v>254</v>
      </c>
      <c r="C48" s="1668">
        <v>8978.75553641576</v>
      </c>
      <c r="D48" s="1668">
        <v>623.600061145249</v>
      </c>
      <c r="E48" s="1668">
        <v>0</v>
      </c>
      <c r="F48" s="1668">
        <v>236.39122863732</v>
      </c>
      <c r="G48" s="1668">
        <v>272.673118618221</v>
      </c>
      <c r="H48" s="1668">
        <v>10111.4199448165</v>
      </c>
      <c r="I48" s="1695">
        <v>9487.8198836713</v>
      </c>
    </row>
    <row r="49" customHeight="1" spans="2:9">
      <c r="B49" s="1674" t="s">
        <v>255</v>
      </c>
      <c r="C49" s="1668">
        <v>4722.16216216216</v>
      </c>
      <c r="D49" s="1668">
        <v>327.967567567568</v>
      </c>
      <c r="E49" s="1668">
        <v>0</v>
      </c>
      <c r="F49" s="1668">
        <v>124.324324324324</v>
      </c>
      <c r="G49" s="1668">
        <v>143.405918354218</v>
      </c>
      <c r="H49" s="1668">
        <v>5317.85997240827</v>
      </c>
      <c r="I49" s="1695">
        <v>4989.8924048407</v>
      </c>
    </row>
    <row r="50" customHeight="1" spans="2:9">
      <c r="B50" s="1674" t="s">
        <v>256</v>
      </c>
      <c r="C50" s="1668">
        <v>43071.3942168782</v>
      </c>
      <c r="D50" s="1668">
        <v>91.4816238246708</v>
      </c>
      <c r="E50" s="1668">
        <v>0</v>
      </c>
      <c r="F50" s="1668">
        <v>2228.53654198407</v>
      </c>
      <c r="G50" s="1668">
        <v>47.8723770409852</v>
      </c>
      <c r="H50" s="1668">
        <v>45439.2847597279</v>
      </c>
      <c r="I50" s="1695">
        <v>45347.8031359033</v>
      </c>
    </row>
    <row r="51" customHeight="1" spans="2:9">
      <c r="B51" s="1673" t="s">
        <v>257</v>
      </c>
      <c r="C51" s="1668">
        <v>10767.8485542196</v>
      </c>
      <c r="D51" s="1668">
        <v>22.8704059561677</v>
      </c>
      <c r="E51" s="1668">
        <v>0</v>
      </c>
      <c r="F51" s="1668">
        <v>557.134135496017</v>
      </c>
      <c r="G51" s="1668">
        <v>11.9680942602463</v>
      </c>
      <c r="H51" s="1668">
        <v>11359.821189932</v>
      </c>
      <c r="I51" s="1695">
        <v>11336.9507839758</v>
      </c>
    </row>
    <row r="52" customHeight="1" spans="2:9">
      <c r="B52" s="1673" t="s">
        <v>33</v>
      </c>
      <c r="C52" s="1667">
        <v>32303.5456626587</v>
      </c>
      <c r="D52" s="1667">
        <v>68.6112178685031</v>
      </c>
      <c r="E52" s="1667">
        <v>0</v>
      </c>
      <c r="F52" s="1667">
        <v>1671.40240648805</v>
      </c>
      <c r="G52" s="1667">
        <v>35.9042827807389</v>
      </c>
      <c r="H52" s="1675">
        <v>34079.463569796</v>
      </c>
      <c r="I52" s="1695">
        <v>34010.8523519275</v>
      </c>
    </row>
    <row r="53" customHeight="1" spans="2:8">
      <c r="B53" s="1676" t="s">
        <v>225</v>
      </c>
      <c r="C53" s="1677">
        <v>0.276518071428876</v>
      </c>
      <c r="D53" s="1677">
        <v>0.0731478816222271</v>
      </c>
      <c r="E53" s="1677" t="e">
        <v>#DIV/0!</v>
      </c>
      <c r="F53" s="1677">
        <v>0.479011637564957</v>
      </c>
      <c r="G53" s="1677">
        <v>0.074410335673534</v>
      </c>
      <c r="H53" s="1677">
        <v>0.263259468063036</v>
      </c>
    </row>
    <row r="54" customHeight="1" spans="2:8">
      <c r="B54" s="1676" t="s">
        <v>101</v>
      </c>
      <c r="C54" s="1677">
        <v>0.157339270598229</v>
      </c>
      <c r="D54" s="1677">
        <v>0.00481162824324226</v>
      </c>
      <c r="E54" s="1677" t="e">
        <v>#DIV/0!</v>
      </c>
      <c r="F54" s="1677">
        <v>0.309209445200289</v>
      </c>
      <c r="G54" s="1677">
        <v>0.0057584687817224</v>
      </c>
      <c r="H54" s="1677">
        <v>0.147395318073849</v>
      </c>
    </row>
    <row r="55" customHeight="1" spans="2:8">
      <c r="B55" s="1678" t="s">
        <v>258</v>
      </c>
      <c r="C55" s="1679">
        <v>1725.6167554839</v>
      </c>
      <c r="D55" s="1679">
        <v>52.017602629646</v>
      </c>
      <c r="E55" s="1679" t="e">
        <v>#DIV/0!</v>
      </c>
      <c r="F55" s="1679">
        <v>5571.34135496017</v>
      </c>
      <c r="G55" s="1679">
        <v>311.268582795805</v>
      </c>
      <c r="H55" s="1679">
        <v>1666.1231720577</v>
      </c>
    </row>
    <row r="56" customHeight="1" spans="3:8">
      <c r="C56" s="1680">
        <v>173007.852692218</v>
      </c>
      <c r="D56" s="1680">
        <v>14190.848241591</v>
      </c>
      <c r="E56" s="1680">
        <v>0</v>
      </c>
      <c r="F56" s="1680">
        <v>3734.00299891735</v>
      </c>
      <c r="G56" s="1680">
        <v>6199.13564566352</v>
      </c>
      <c r="H56" s="1680">
        <v>197131.83957839</v>
      </c>
    </row>
    <row r="57" customHeight="1" spans="2:5">
      <c r="B57" s="1681"/>
      <c r="C57" s="1682"/>
      <c r="E57" s="1683"/>
    </row>
  </sheetData>
  <protectedRanges>
    <protectedRange sqref="G2 G8 H16 I17 H20:J20 H12:H13 H9" name="区域1" securityDescriptor=""/>
  </protectedRanges>
  <mergeCells count="4">
    <mergeCell ref="B8:B12"/>
    <mergeCell ref="B13:B19"/>
    <mergeCell ref="B20:B23"/>
    <mergeCell ref="K3:K4"/>
  </mergeCells>
  <pageMargins left="0.75" right="0.75" top="1" bottom="1" header="0.5" footer="0.5"/>
  <pageSetup paperSize="9" orientation="portrait"/>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1057" name="Scroll Bar 1" r:id="rId4">
              <controlPr locked="0" defaultSize="0">
                <anchor moveWithCells="1" sizeWithCells="1">
                  <from>
                    <xdr:col>2</xdr:col>
                    <xdr:colOff>114300</xdr:colOff>
                    <xdr:row>0</xdr:row>
                    <xdr:rowOff>0</xdr:rowOff>
                  </from>
                  <to>
                    <xdr:col>4</xdr:col>
                    <xdr:colOff>30480</xdr:colOff>
                    <xdr:row>0</xdr:row>
                    <xdr:rowOff>0</xdr:rowOff>
                  </to>
                </anchor>
              </controlPr>
            </control>
          </mc:Choice>
        </mc:AlternateContent>
        <mc:AlternateContent xmlns:mc="http://schemas.openxmlformats.org/markup-compatibility/2006">
          <mc:Choice Requires="x14">
            <control shapeId="301058" name="Scroll Bar 2" r:id="rId5">
              <controlPr locked="0" defaultSize="0">
                <anchor moveWithCells="1" sizeWithCells="1">
                  <from>
                    <xdr:col>4</xdr:col>
                    <xdr:colOff>525780</xdr:colOff>
                    <xdr:row>0</xdr:row>
                    <xdr:rowOff>0</xdr:rowOff>
                  </from>
                  <to>
                    <xdr:col>5</xdr:col>
                    <xdr:colOff>0</xdr:colOff>
                    <xdr:row>0</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4" tint="0.399975585192419"/>
  </sheetPr>
  <dimension ref="A1:M41"/>
  <sheetViews>
    <sheetView zoomScale="120" zoomScaleNormal="120" workbookViewId="0">
      <pane xSplit="1" ySplit="2" topLeftCell="B12" activePane="bottomRight" state="frozen"/>
      <selection/>
      <selection pane="topRight"/>
      <selection pane="bottomLeft"/>
      <selection pane="bottomRight" activeCell="A1" sqref="A1"/>
    </sheetView>
  </sheetViews>
  <sheetFormatPr defaultColWidth="9" defaultRowHeight="12.75"/>
  <cols>
    <col min="1" max="1" width="38.6" style="1513" customWidth="1"/>
    <col min="2" max="2" width="12.6" style="1513" customWidth="1"/>
    <col min="3" max="6" width="14.6" style="1513" customWidth="1"/>
    <col min="7" max="11" width="13.6" style="1513" customWidth="1"/>
    <col min="12" max="12" width="12" style="1513" customWidth="1"/>
    <col min="13" max="13" width="10.1" style="1513" customWidth="1"/>
    <col min="14" max="14" width="14.1" style="1513" customWidth="1"/>
    <col min="15" max="257" width="9" style="1513"/>
    <col min="258" max="258" width="16.1" style="1513" customWidth="1"/>
    <col min="259" max="259" width="13.9" style="1513" customWidth="1"/>
    <col min="260" max="260" width="11.6" style="1513" customWidth="1"/>
    <col min="261" max="261" width="9.4" style="1513" customWidth="1"/>
    <col min="262" max="262" width="10.1" style="1513" customWidth="1"/>
    <col min="263" max="263" width="8.5" style="1513" customWidth="1"/>
    <col min="264" max="264" width="17.1" style="1513" customWidth="1"/>
    <col min="265" max="265" width="8.5" style="1513" customWidth="1"/>
    <col min="266" max="266" width="10.1" style="1513" customWidth="1"/>
    <col min="267" max="267" width="9.5" style="1513" customWidth="1"/>
    <col min="268" max="513" width="9" style="1513"/>
    <col min="514" max="514" width="16.1" style="1513" customWidth="1"/>
    <col min="515" max="515" width="13.9" style="1513" customWidth="1"/>
    <col min="516" max="516" width="11.6" style="1513" customWidth="1"/>
    <col min="517" max="517" width="9.4" style="1513" customWidth="1"/>
    <col min="518" max="518" width="10.1" style="1513" customWidth="1"/>
    <col min="519" max="519" width="8.5" style="1513" customWidth="1"/>
    <col min="520" max="520" width="17.1" style="1513" customWidth="1"/>
    <col min="521" max="521" width="8.5" style="1513" customWidth="1"/>
    <col min="522" max="522" width="10.1" style="1513" customWidth="1"/>
    <col min="523" max="523" width="9.5" style="1513" customWidth="1"/>
    <col min="524" max="769" width="9" style="1513"/>
    <col min="770" max="770" width="16.1" style="1513" customWidth="1"/>
    <col min="771" max="771" width="13.9" style="1513" customWidth="1"/>
    <col min="772" max="772" width="11.6" style="1513" customWidth="1"/>
    <col min="773" max="773" width="9.4" style="1513" customWidth="1"/>
    <col min="774" max="774" width="10.1" style="1513" customWidth="1"/>
    <col min="775" max="775" width="8.5" style="1513" customWidth="1"/>
    <col min="776" max="776" width="17.1" style="1513" customWidth="1"/>
    <col min="777" max="777" width="8.5" style="1513" customWidth="1"/>
    <col min="778" max="778" width="10.1" style="1513" customWidth="1"/>
    <col min="779" max="779" width="9.5" style="1513" customWidth="1"/>
    <col min="780" max="1025" width="9" style="1513"/>
    <col min="1026" max="1026" width="16.1" style="1513" customWidth="1"/>
    <col min="1027" max="1027" width="13.9" style="1513" customWidth="1"/>
    <col min="1028" max="1028" width="11.6" style="1513" customWidth="1"/>
    <col min="1029" max="1029" width="9.4" style="1513" customWidth="1"/>
    <col min="1030" max="1030" width="10.1" style="1513" customWidth="1"/>
    <col min="1031" max="1031" width="8.5" style="1513" customWidth="1"/>
    <col min="1032" max="1032" width="17.1" style="1513" customWidth="1"/>
    <col min="1033" max="1033" width="8.5" style="1513" customWidth="1"/>
    <col min="1034" max="1034" width="10.1" style="1513" customWidth="1"/>
    <col min="1035" max="1035" width="9.5" style="1513" customWidth="1"/>
    <col min="1036" max="1281" width="9" style="1513"/>
    <col min="1282" max="1282" width="16.1" style="1513" customWidth="1"/>
    <col min="1283" max="1283" width="13.9" style="1513" customWidth="1"/>
    <col min="1284" max="1284" width="11.6" style="1513" customWidth="1"/>
    <col min="1285" max="1285" width="9.4" style="1513" customWidth="1"/>
    <col min="1286" max="1286" width="10.1" style="1513" customWidth="1"/>
    <col min="1287" max="1287" width="8.5" style="1513" customWidth="1"/>
    <col min="1288" max="1288" width="17.1" style="1513" customWidth="1"/>
    <col min="1289" max="1289" width="8.5" style="1513" customWidth="1"/>
    <col min="1290" max="1290" width="10.1" style="1513" customWidth="1"/>
    <col min="1291" max="1291" width="9.5" style="1513" customWidth="1"/>
    <col min="1292" max="1537" width="9" style="1513"/>
    <col min="1538" max="1538" width="16.1" style="1513" customWidth="1"/>
    <col min="1539" max="1539" width="13.9" style="1513" customWidth="1"/>
    <col min="1540" max="1540" width="11.6" style="1513" customWidth="1"/>
    <col min="1541" max="1541" width="9.4" style="1513" customWidth="1"/>
    <col min="1542" max="1542" width="10.1" style="1513" customWidth="1"/>
    <col min="1543" max="1543" width="8.5" style="1513" customWidth="1"/>
    <col min="1544" max="1544" width="17.1" style="1513" customWidth="1"/>
    <col min="1545" max="1545" width="8.5" style="1513" customWidth="1"/>
    <col min="1546" max="1546" width="10.1" style="1513" customWidth="1"/>
    <col min="1547" max="1547" width="9.5" style="1513" customWidth="1"/>
    <col min="1548" max="1793" width="9" style="1513"/>
    <col min="1794" max="1794" width="16.1" style="1513" customWidth="1"/>
    <col min="1795" max="1795" width="13.9" style="1513" customWidth="1"/>
    <col min="1796" max="1796" width="11.6" style="1513" customWidth="1"/>
    <col min="1797" max="1797" width="9.4" style="1513" customWidth="1"/>
    <col min="1798" max="1798" width="10.1" style="1513" customWidth="1"/>
    <col min="1799" max="1799" width="8.5" style="1513" customWidth="1"/>
    <col min="1800" max="1800" width="17.1" style="1513" customWidth="1"/>
    <col min="1801" max="1801" width="8.5" style="1513" customWidth="1"/>
    <col min="1802" max="1802" width="10.1" style="1513" customWidth="1"/>
    <col min="1803" max="1803" width="9.5" style="1513" customWidth="1"/>
    <col min="1804" max="2049" width="9" style="1513"/>
    <col min="2050" max="2050" width="16.1" style="1513" customWidth="1"/>
    <col min="2051" max="2051" width="13.9" style="1513" customWidth="1"/>
    <col min="2052" max="2052" width="11.6" style="1513" customWidth="1"/>
    <col min="2053" max="2053" width="9.4" style="1513" customWidth="1"/>
    <col min="2054" max="2054" width="10.1" style="1513" customWidth="1"/>
    <col min="2055" max="2055" width="8.5" style="1513" customWidth="1"/>
    <col min="2056" max="2056" width="17.1" style="1513" customWidth="1"/>
    <col min="2057" max="2057" width="8.5" style="1513" customWidth="1"/>
    <col min="2058" max="2058" width="10.1" style="1513" customWidth="1"/>
    <col min="2059" max="2059" width="9.5" style="1513" customWidth="1"/>
    <col min="2060" max="2305" width="9" style="1513"/>
    <col min="2306" max="2306" width="16.1" style="1513" customWidth="1"/>
    <col min="2307" max="2307" width="13.9" style="1513" customWidth="1"/>
    <col min="2308" max="2308" width="11.6" style="1513" customWidth="1"/>
    <col min="2309" max="2309" width="9.4" style="1513" customWidth="1"/>
    <col min="2310" max="2310" width="10.1" style="1513" customWidth="1"/>
    <col min="2311" max="2311" width="8.5" style="1513" customWidth="1"/>
    <col min="2312" max="2312" width="17.1" style="1513" customWidth="1"/>
    <col min="2313" max="2313" width="8.5" style="1513" customWidth="1"/>
    <col min="2314" max="2314" width="10.1" style="1513" customWidth="1"/>
    <col min="2315" max="2315" width="9.5" style="1513" customWidth="1"/>
    <col min="2316" max="2561" width="9" style="1513"/>
    <col min="2562" max="2562" width="16.1" style="1513" customWidth="1"/>
    <col min="2563" max="2563" width="13.9" style="1513" customWidth="1"/>
    <col min="2564" max="2564" width="11.6" style="1513" customWidth="1"/>
    <col min="2565" max="2565" width="9.4" style="1513" customWidth="1"/>
    <col min="2566" max="2566" width="10.1" style="1513" customWidth="1"/>
    <col min="2567" max="2567" width="8.5" style="1513" customWidth="1"/>
    <col min="2568" max="2568" width="17.1" style="1513" customWidth="1"/>
    <col min="2569" max="2569" width="8.5" style="1513" customWidth="1"/>
    <col min="2570" max="2570" width="10.1" style="1513" customWidth="1"/>
    <col min="2571" max="2571" width="9.5" style="1513" customWidth="1"/>
    <col min="2572" max="2817" width="9" style="1513"/>
    <col min="2818" max="2818" width="16.1" style="1513" customWidth="1"/>
    <col min="2819" max="2819" width="13.9" style="1513" customWidth="1"/>
    <col min="2820" max="2820" width="11.6" style="1513" customWidth="1"/>
    <col min="2821" max="2821" width="9.4" style="1513" customWidth="1"/>
    <col min="2822" max="2822" width="10.1" style="1513" customWidth="1"/>
    <col min="2823" max="2823" width="8.5" style="1513" customWidth="1"/>
    <col min="2824" max="2824" width="17.1" style="1513" customWidth="1"/>
    <col min="2825" max="2825" width="8.5" style="1513" customWidth="1"/>
    <col min="2826" max="2826" width="10.1" style="1513" customWidth="1"/>
    <col min="2827" max="2827" width="9.5" style="1513" customWidth="1"/>
    <col min="2828" max="3073" width="9" style="1513"/>
    <col min="3074" max="3074" width="16.1" style="1513" customWidth="1"/>
    <col min="3075" max="3075" width="13.9" style="1513" customWidth="1"/>
    <col min="3076" max="3076" width="11.6" style="1513" customWidth="1"/>
    <col min="3077" max="3077" width="9.4" style="1513" customWidth="1"/>
    <col min="3078" max="3078" width="10.1" style="1513" customWidth="1"/>
    <col min="3079" max="3079" width="8.5" style="1513" customWidth="1"/>
    <col min="3080" max="3080" width="17.1" style="1513" customWidth="1"/>
    <col min="3081" max="3081" width="8.5" style="1513" customWidth="1"/>
    <col min="3082" max="3082" width="10.1" style="1513" customWidth="1"/>
    <col min="3083" max="3083" width="9.5" style="1513" customWidth="1"/>
    <col min="3084" max="3329" width="9" style="1513"/>
    <col min="3330" max="3330" width="16.1" style="1513" customWidth="1"/>
    <col min="3331" max="3331" width="13.9" style="1513" customWidth="1"/>
    <col min="3332" max="3332" width="11.6" style="1513" customWidth="1"/>
    <col min="3333" max="3333" width="9.4" style="1513" customWidth="1"/>
    <col min="3334" max="3334" width="10.1" style="1513" customWidth="1"/>
    <col min="3335" max="3335" width="8.5" style="1513" customWidth="1"/>
    <col min="3336" max="3336" width="17.1" style="1513" customWidth="1"/>
    <col min="3337" max="3337" width="8.5" style="1513" customWidth="1"/>
    <col min="3338" max="3338" width="10.1" style="1513" customWidth="1"/>
    <col min="3339" max="3339" width="9.5" style="1513" customWidth="1"/>
    <col min="3340" max="3585" width="9" style="1513"/>
    <col min="3586" max="3586" width="16.1" style="1513" customWidth="1"/>
    <col min="3587" max="3587" width="13.9" style="1513" customWidth="1"/>
    <col min="3588" max="3588" width="11.6" style="1513" customWidth="1"/>
    <col min="3589" max="3589" width="9.4" style="1513" customWidth="1"/>
    <col min="3590" max="3590" width="10.1" style="1513" customWidth="1"/>
    <col min="3591" max="3591" width="8.5" style="1513" customWidth="1"/>
    <col min="3592" max="3592" width="17.1" style="1513" customWidth="1"/>
    <col min="3593" max="3593" width="8.5" style="1513" customWidth="1"/>
    <col min="3594" max="3594" width="10.1" style="1513" customWidth="1"/>
    <col min="3595" max="3595" width="9.5" style="1513" customWidth="1"/>
    <col min="3596" max="3841" width="9" style="1513"/>
    <col min="3842" max="3842" width="16.1" style="1513" customWidth="1"/>
    <col min="3843" max="3843" width="13.9" style="1513" customWidth="1"/>
    <col min="3844" max="3844" width="11.6" style="1513" customWidth="1"/>
    <col min="3845" max="3845" width="9.4" style="1513" customWidth="1"/>
    <col min="3846" max="3846" width="10.1" style="1513" customWidth="1"/>
    <col min="3847" max="3847" width="8.5" style="1513" customWidth="1"/>
    <col min="3848" max="3848" width="17.1" style="1513" customWidth="1"/>
    <col min="3849" max="3849" width="8.5" style="1513" customWidth="1"/>
    <col min="3850" max="3850" width="10.1" style="1513" customWidth="1"/>
    <col min="3851" max="3851" width="9.5" style="1513" customWidth="1"/>
    <col min="3852" max="4097" width="9" style="1513"/>
    <col min="4098" max="4098" width="16.1" style="1513" customWidth="1"/>
    <col min="4099" max="4099" width="13.9" style="1513" customWidth="1"/>
    <col min="4100" max="4100" width="11.6" style="1513" customWidth="1"/>
    <col min="4101" max="4101" width="9.4" style="1513" customWidth="1"/>
    <col min="4102" max="4102" width="10.1" style="1513" customWidth="1"/>
    <col min="4103" max="4103" width="8.5" style="1513" customWidth="1"/>
    <col min="4104" max="4104" width="17.1" style="1513" customWidth="1"/>
    <col min="4105" max="4105" width="8.5" style="1513" customWidth="1"/>
    <col min="4106" max="4106" width="10.1" style="1513" customWidth="1"/>
    <col min="4107" max="4107" width="9.5" style="1513" customWidth="1"/>
    <col min="4108" max="4353" width="9" style="1513"/>
    <col min="4354" max="4354" width="16.1" style="1513" customWidth="1"/>
    <col min="4355" max="4355" width="13.9" style="1513" customWidth="1"/>
    <col min="4356" max="4356" width="11.6" style="1513" customWidth="1"/>
    <col min="4357" max="4357" width="9.4" style="1513" customWidth="1"/>
    <col min="4358" max="4358" width="10.1" style="1513" customWidth="1"/>
    <col min="4359" max="4359" width="8.5" style="1513" customWidth="1"/>
    <col min="4360" max="4360" width="17.1" style="1513" customWidth="1"/>
    <col min="4361" max="4361" width="8.5" style="1513" customWidth="1"/>
    <col min="4362" max="4362" width="10.1" style="1513" customWidth="1"/>
    <col min="4363" max="4363" width="9.5" style="1513" customWidth="1"/>
    <col min="4364" max="4609" width="9" style="1513"/>
    <col min="4610" max="4610" width="16.1" style="1513" customWidth="1"/>
    <col min="4611" max="4611" width="13.9" style="1513" customWidth="1"/>
    <col min="4612" max="4612" width="11.6" style="1513" customWidth="1"/>
    <col min="4613" max="4613" width="9.4" style="1513" customWidth="1"/>
    <col min="4614" max="4614" width="10.1" style="1513" customWidth="1"/>
    <col min="4615" max="4615" width="8.5" style="1513" customWidth="1"/>
    <col min="4616" max="4616" width="17.1" style="1513" customWidth="1"/>
    <col min="4617" max="4617" width="8.5" style="1513" customWidth="1"/>
    <col min="4618" max="4618" width="10.1" style="1513" customWidth="1"/>
    <col min="4619" max="4619" width="9.5" style="1513" customWidth="1"/>
    <col min="4620" max="4865" width="9" style="1513"/>
    <col min="4866" max="4866" width="16.1" style="1513" customWidth="1"/>
    <col min="4867" max="4867" width="13.9" style="1513" customWidth="1"/>
    <col min="4868" max="4868" width="11.6" style="1513" customWidth="1"/>
    <col min="4869" max="4869" width="9.4" style="1513" customWidth="1"/>
    <col min="4870" max="4870" width="10.1" style="1513" customWidth="1"/>
    <col min="4871" max="4871" width="8.5" style="1513" customWidth="1"/>
    <col min="4872" max="4872" width="17.1" style="1513" customWidth="1"/>
    <col min="4873" max="4873" width="8.5" style="1513" customWidth="1"/>
    <col min="4874" max="4874" width="10.1" style="1513" customWidth="1"/>
    <col min="4875" max="4875" width="9.5" style="1513" customWidth="1"/>
    <col min="4876" max="5121" width="9" style="1513"/>
    <col min="5122" max="5122" width="16.1" style="1513" customWidth="1"/>
    <col min="5123" max="5123" width="13.9" style="1513" customWidth="1"/>
    <col min="5124" max="5124" width="11.6" style="1513" customWidth="1"/>
    <col min="5125" max="5125" width="9.4" style="1513" customWidth="1"/>
    <col min="5126" max="5126" width="10.1" style="1513" customWidth="1"/>
    <col min="5127" max="5127" width="8.5" style="1513" customWidth="1"/>
    <col min="5128" max="5128" width="17.1" style="1513" customWidth="1"/>
    <col min="5129" max="5129" width="8.5" style="1513" customWidth="1"/>
    <col min="5130" max="5130" width="10.1" style="1513" customWidth="1"/>
    <col min="5131" max="5131" width="9.5" style="1513" customWidth="1"/>
    <col min="5132" max="5377" width="9" style="1513"/>
    <col min="5378" max="5378" width="16.1" style="1513" customWidth="1"/>
    <col min="5379" max="5379" width="13.9" style="1513" customWidth="1"/>
    <col min="5380" max="5380" width="11.6" style="1513" customWidth="1"/>
    <col min="5381" max="5381" width="9.4" style="1513" customWidth="1"/>
    <col min="5382" max="5382" width="10.1" style="1513" customWidth="1"/>
    <col min="5383" max="5383" width="8.5" style="1513" customWidth="1"/>
    <col min="5384" max="5384" width="17.1" style="1513" customWidth="1"/>
    <col min="5385" max="5385" width="8.5" style="1513" customWidth="1"/>
    <col min="5386" max="5386" width="10.1" style="1513" customWidth="1"/>
    <col min="5387" max="5387" width="9.5" style="1513" customWidth="1"/>
    <col min="5388" max="5633" width="9" style="1513"/>
    <col min="5634" max="5634" width="16.1" style="1513" customWidth="1"/>
    <col min="5635" max="5635" width="13.9" style="1513" customWidth="1"/>
    <col min="5636" max="5636" width="11.6" style="1513" customWidth="1"/>
    <col min="5637" max="5637" width="9.4" style="1513" customWidth="1"/>
    <col min="5638" max="5638" width="10.1" style="1513" customWidth="1"/>
    <col min="5639" max="5639" width="8.5" style="1513" customWidth="1"/>
    <col min="5640" max="5640" width="17.1" style="1513" customWidth="1"/>
    <col min="5641" max="5641" width="8.5" style="1513" customWidth="1"/>
    <col min="5642" max="5642" width="10.1" style="1513" customWidth="1"/>
    <col min="5643" max="5643" width="9.5" style="1513" customWidth="1"/>
    <col min="5644" max="5889" width="9" style="1513"/>
    <col min="5890" max="5890" width="16.1" style="1513" customWidth="1"/>
    <col min="5891" max="5891" width="13.9" style="1513" customWidth="1"/>
    <col min="5892" max="5892" width="11.6" style="1513" customWidth="1"/>
    <col min="5893" max="5893" width="9.4" style="1513" customWidth="1"/>
    <col min="5894" max="5894" width="10.1" style="1513" customWidth="1"/>
    <col min="5895" max="5895" width="8.5" style="1513" customWidth="1"/>
    <col min="5896" max="5896" width="17.1" style="1513" customWidth="1"/>
    <col min="5897" max="5897" width="8.5" style="1513" customWidth="1"/>
    <col min="5898" max="5898" width="10.1" style="1513" customWidth="1"/>
    <col min="5899" max="5899" width="9.5" style="1513" customWidth="1"/>
    <col min="5900" max="6145" width="9" style="1513"/>
    <col min="6146" max="6146" width="16.1" style="1513" customWidth="1"/>
    <col min="6147" max="6147" width="13.9" style="1513" customWidth="1"/>
    <col min="6148" max="6148" width="11.6" style="1513" customWidth="1"/>
    <col min="6149" max="6149" width="9.4" style="1513" customWidth="1"/>
    <col min="6150" max="6150" width="10.1" style="1513" customWidth="1"/>
    <col min="6151" max="6151" width="8.5" style="1513" customWidth="1"/>
    <col min="6152" max="6152" width="17.1" style="1513" customWidth="1"/>
    <col min="6153" max="6153" width="8.5" style="1513" customWidth="1"/>
    <col min="6154" max="6154" width="10.1" style="1513" customWidth="1"/>
    <col min="6155" max="6155" width="9.5" style="1513" customWidth="1"/>
    <col min="6156" max="6401" width="9" style="1513"/>
    <col min="6402" max="6402" width="16.1" style="1513" customWidth="1"/>
    <col min="6403" max="6403" width="13.9" style="1513" customWidth="1"/>
    <col min="6404" max="6404" width="11.6" style="1513" customWidth="1"/>
    <col min="6405" max="6405" width="9.4" style="1513" customWidth="1"/>
    <col min="6406" max="6406" width="10.1" style="1513" customWidth="1"/>
    <col min="6407" max="6407" width="8.5" style="1513" customWidth="1"/>
    <col min="6408" max="6408" width="17.1" style="1513" customWidth="1"/>
    <col min="6409" max="6409" width="8.5" style="1513" customWidth="1"/>
    <col min="6410" max="6410" width="10.1" style="1513" customWidth="1"/>
    <col min="6411" max="6411" width="9.5" style="1513" customWidth="1"/>
    <col min="6412" max="6657" width="9" style="1513"/>
    <col min="6658" max="6658" width="16.1" style="1513" customWidth="1"/>
    <col min="6659" max="6659" width="13.9" style="1513" customWidth="1"/>
    <col min="6660" max="6660" width="11.6" style="1513" customWidth="1"/>
    <col min="6661" max="6661" width="9.4" style="1513" customWidth="1"/>
    <col min="6662" max="6662" width="10.1" style="1513" customWidth="1"/>
    <col min="6663" max="6663" width="8.5" style="1513" customWidth="1"/>
    <col min="6664" max="6664" width="17.1" style="1513" customWidth="1"/>
    <col min="6665" max="6665" width="8.5" style="1513" customWidth="1"/>
    <col min="6666" max="6666" width="10.1" style="1513" customWidth="1"/>
    <col min="6667" max="6667" width="9.5" style="1513" customWidth="1"/>
    <col min="6668" max="6913" width="9" style="1513"/>
    <col min="6914" max="6914" width="16.1" style="1513" customWidth="1"/>
    <col min="6915" max="6915" width="13.9" style="1513" customWidth="1"/>
    <col min="6916" max="6916" width="11.6" style="1513" customWidth="1"/>
    <col min="6917" max="6917" width="9.4" style="1513" customWidth="1"/>
    <col min="6918" max="6918" width="10.1" style="1513" customWidth="1"/>
    <col min="6919" max="6919" width="8.5" style="1513" customWidth="1"/>
    <col min="6920" max="6920" width="17.1" style="1513" customWidth="1"/>
    <col min="6921" max="6921" width="8.5" style="1513" customWidth="1"/>
    <col min="6922" max="6922" width="10.1" style="1513" customWidth="1"/>
    <col min="6923" max="6923" width="9.5" style="1513" customWidth="1"/>
    <col min="6924" max="7169" width="9" style="1513"/>
    <col min="7170" max="7170" width="16.1" style="1513" customWidth="1"/>
    <col min="7171" max="7171" width="13.9" style="1513" customWidth="1"/>
    <col min="7172" max="7172" width="11.6" style="1513" customWidth="1"/>
    <col min="7173" max="7173" width="9.4" style="1513" customWidth="1"/>
    <col min="7174" max="7174" width="10.1" style="1513" customWidth="1"/>
    <col min="7175" max="7175" width="8.5" style="1513" customWidth="1"/>
    <col min="7176" max="7176" width="17.1" style="1513" customWidth="1"/>
    <col min="7177" max="7177" width="8.5" style="1513" customWidth="1"/>
    <col min="7178" max="7178" width="10.1" style="1513" customWidth="1"/>
    <col min="7179" max="7179" width="9.5" style="1513" customWidth="1"/>
    <col min="7180" max="7425" width="9" style="1513"/>
    <col min="7426" max="7426" width="16.1" style="1513" customWidth="1"/>
    <col min="7427" max="7427" width="13.9" style="1513" customWidth="1"/>
    <col min="7428" max="7428" width="11.6" style="1513" customWidth="1"/>
    <col min="7429" max="7429" width="9.4" style="1513" customWidth="1"/>
    <col min="7430" max="7430" width="10.1" style="1513" customWidth="1"/>
    <col min="7431" max="7431" width="8.5" style="1513" customWidth="1"/>
    <col min="7432" max="7432" width="17.1" style="1513" customWidth="1"/>
    <col min="7433" max="7433" width="8.5" style="1513" customWidth="1"/>
    <col min="7434" max="7434" width="10.1" style="1513" customWidth="1"/>
    <col min="7435" max="7435" width="9.5" style="1513" customWidth="1"/>
    <col min="7436" max="7681" width="9" style="1513"/>
    <col min="7682" max="7682" width="16.1" style="1513" customWidth="1"/>
    <col min="7683" max="7683" width="13.9" style="1513" customWidth="1"/>
    <col min="7684" max="7684" width="11.6" style="1513" customWidth="1"/>
    <col min="7685" max="7685" width="9.4" style="1513" customWidth="1"/>
    <col min="7686" max="7686" width="10.1" style="1513" customWidth="1"/>
    <col min="7687" max="7687" width="8.5" style="1513" customWidth="1"/>
    <col min="7688" max="7688" width="17.1" style="1513" customWidth="1"/>
    <col min="7689" max="7689" width="8.5" style="1513" customWidth="1"/>
    <col min="7690" max="7690" width="10.1" style="1513" customWidth="1"/>
    <col min="7691" max="7691" width="9.5" style="1513" customWidth="1"/>
    <col min="7692" max="7937" width="9" style="1513"/>
    <col min="7938" max="7938" width="16.1" style="1513" customWidth="1"/>
    <col min="7939" max="7939" width="13.9" style="1513" customWidth="1"/>
    <col min="7940" max="7940" width="11.6" style="1513" customWidth="1"/>
    <col min="7941" max="7941" width="9.4" style="1513" customWidth="1"/>
    <col min="7942" max="7942" width="10.1" style="1513" customWidth="1"/>
    <col min="7943" max="7943" width="8.5" style="1513" customWidth="1"/>
    <col min="7944" max="7944" width="17.1" style="1513" customWidth="1"/>
    <col min="7945" max="7945" width="8.5" style="1513" customWidth="1"/>
    <col min="7946" max="7946" width="10.1" style="1513" customWidth="1"/>
    <col min="7947" max="7947" width="9.5" style="1513" customWidth="1"/>
    <col min="7948" max="8193" width="9" style="1513"/>
    <col min="8194" max="8194" width="16.1" style="1513" customWidth="1"/>
    <col min="8195" max="8195" width="13.9" style="1513" customWidth="1"/>
    <col min="8196" max="8196" width="11.6" style="1513" customWidth="1"/>
    <col min="8197" max="8197" width="9.4" style="1513" customWidth="1"/>
    <col min="8198" max="8198" width="10.1" style="1513" customWidth="1"/>
    <col min="8199" max="8199" width="8.5" style="1513" customWidth="1"/>
    <col min="8200" max="8200" width="17.1" style="1513" customWidth="1"/>
    <col min="8201" max="8201" width="8.5" style="1513" customWidth="1"/>
    <col min="8202" max="8202" width="10.1" style="1513" customWidth="1"/>
    <col min="8203" max="8203" width="9.5" style="1513" customWidth="1"/>
    <col min="8204" max="8449" width="9" style="1513"/>
    <col min="8450" max="8450" width="16.1" style="1513" customWidth="1"/>
    <col min="8451" max="8451" width="13.9" style="1513" customWidth="1"/>
    <col min="8452" max="8452" width="11.6" style="1513" customWidth="1"/>
    <col min="8453" max="8453" width="9.4" style="1513" customWidth="1"/>
    <col min="8454" max="8454" width="10.1" style="1513" customWidth="1"/>
    <col min="8455" max="8455" width="8.5" style="1513" customWidth="1"/>
    <col min="8456" max="8456" width="17.1" style="1513" customWidth="1"/>
    <col min="8457" max="8457" width="8.5" style="1513" customWidth="1"/>
    <col min="8458" max="8458" width="10.1" style="1513" customWidth="1"/>
    <col min="8459" max="8459" width="9.5" style="1513" customWidth="1"/>
    <col min="8460" max="8705" width="9" style="1513"/>
    <col min="8706" max="8706" width="16.1" style="1513" customWidth="1"/>
    <col min="8707" max="8707" width="13.9" style="1513" customWidth="1"/>
    <col min="8708" max="8708" width="11.6" style="1513" customWidth="1"/>
    <col min="8709" max="8709" width="9.4" style="1513" customWidth="1"/>
    <col min="8710" max="8710" width="10.1" style="1513" customWidth="1"/>
    <col min="8711" max="8711" width="8.5" style="1513" customWidth="1"/>
    <col min="8712" max="8712" width="17.1" style="1513" customWidth="1"/>
    <col min="8713" max="8713" width="8.5" style="1513" customWidth="1"/>
    <col min="8714" max="8714" width="10.1" style="1513" customWidth="1"/>
    <col min="8715" max="8715" width="9.5" style="1513" customWidth="1"/>
    <col min="8716" max="8961" width="9" style="1513"/>
    <col min="8962" max="8962" width="16.1" style="1513" customWidth="1"/>
    <col min="8963" max="8963" width="13.9" style="1513" customWidth="1"/>
    <col min="8964" max="8964" width="11.6" style="1513" customWidth="1"/>
    <col min="8965" max="8965" width="9.4" style="1513" customWidth="1"/>
    <col min="8966" max="8966" width="10.1" style="1513" customWidth="1"/>
    <col min="8967" max="8967" width="8.5" style="1513" customWidth="1"/>
    <col min="8968" max="8968" width="17.1" style="1513" customWidth="1"/>
    <col min="8969" max="8969" width="8.5" style="1513" customWidth="1"/>
    <col min="8970" max="8970" width="10.1" style="1513" customWidth="1"/>
    <col min="8971" max="8971" width="9.5" style="1513" customWidth="1"/>
    <col min="8972" max="9217" width="9" style="1513"/>
    <col min="9218" max="9218" width="16.1" style="1513" customWidth="1"/>
    <col min="9219" max="9219" width="13.9" style="1513" customWidth="1"/>
    <col min="9220" max="9220" width="11.6" style="1513" customWidth="1"/>
    <col min="9221" max="9221" width="9.4" style="1513" customWidth="1"/>
    <col min="9222" max="9222" width="10.1" style="1513" customWidth="1"/>
    <col min="9223" max="9223" width="8.5" style="1513" customWidth="1"/>
    <col min="9224" max="9224" width="17.1" style="1513" customWidth="1"/>
    <col min="9225" max="9225" width="8.5" style="1513" customWidth="1"/>
    <col min="9226" max="9226" width="10.1" style="1513" customWidth="1"/>
    <col min="9227" max="9227" width="9.5" style="1513" customWidth="1"/>
    <col min="9228" max="9473" width="9" style="1513"/>
    <col min="9474" max="9474" width="16.1" style="1513" customWidth="1"/>
    <col min="9475" max="9475" width="13.9" style="1513" customWidth="1"/>
    <col min="9476" max="9476" width="11.6" style="1513" customWidth="1"/>
    <col min="9477" max="9477" width="9.4" style="1513" customWidth="1"/>
    <col min="9478" max="9478" width="10.1" style="1513" customWidth="1"/>
    <col min="9479" max="9479" width="8.5" style="1513" customWidth="1"/>
    <col min="9480" max="9480" width="17.1" style="1513" customWidth="1"/>
    <col min="9481" max="9481" width="8.5" style="1513" customWidth="1"/>
    <col min="9482" max="9482" width="10.1" style="1513" customWidth="1"/>
    <col min="9483" max="9483" width="9.5" style="1513" customWidth="1"/>
    <col min="9484" max="9729" width="9" style="1513"/>
    <col min="9730" max="9730" width="16.1" style="1513" customWidth="1"/>
    <col min="9731" max="9731" width="13.9" style="1513" customWidth="1"/>
    <col min="9732" max="9732" width="11.6" style="1513" customWidth="1"/>
    <col min="9733" max="9733" width="9.4" style="1513" customWidth="1"/>
    <col min="9734" max="9734" width="10.1" style="1513" customWidth="1"/>
    <col min="9735" max="9735" width="8.5" style="1513" customWidth="1"/>
    <col min="9736" max="9736" width="17.1" style="1513" customWidth="1"/>
    <col min="9737" max="9737" width="8.5" style="1513" customWidth="1"/>
    <col min="9738" max="9738" width="10.1" style="1513" customWidth="1"/>
    <col min="9739" max="9739" width="9.5" style="1513" customWidth="1"/>
    <col min="9740" max="9985" width="9" style="1513"/>
    <col min="9986" max="9986" width="16.1" style="1513" customWidth="1"/>
    <col min="9987" max="9987" width="13.9" style="1513" customWidth="1"/>
    <col min="9988" max="9988" width="11.6" style="1513" customWidth="1"/>
    <col min="9989" max="9989" width="9.4" style="1513" customWidth="1"/>
    <col min="9990" max="9990" width="10.1" style="1513" customWidth="1"/>
    <col min="9991" max="9991" width="8.5" style="1513" customWidth="1"/>
    <col min="9992" max="9992" width="17.1" style="1513" customWidth="1"/>
    <col min="9993" max="9993" width="8.5" style="1513" customWidth="1"/>
    <col min="9994" max="9994" width="10.1" style="1513" customWidth="1"/>
    <col min="9995" max="9995" width="9.5" style="1513" customWidth="1"/>
    <col min="9996" max="10241" width="9" style="1513"/>
    <col min="10242" max="10242" width="16.1" style="1513" customWidth="1"/>
    <col min="10243" max="10243" width="13.9" style="1513" customWidth="1"/>
    <col min="10244" max="10244" width="11.6" style="1513" customWidth="1"/>
    <col min="10245" max="10245" width="9.4" style="1513" customWidth="1"/>
    <col min="10246" max="10246" width="10.1" style="1513" customWidth="1"/>
    <col min="10247" max="10247" width="8.5" style="1513" customWidth="1"/>
    <col min="10248" max="10248" width="17.1" style="1513" customWidth="1"/>
    <col min="10249" max="10249" width="8.5" style="1513" customWidth="1"/>
    <col min="10250" max="10250" width="10.1" style="1513" customWidth="1"/>
    <col min="10251" max="10251" width="9.5" style="1513" customWidth="1"/>
    <col min="10252" max="10497" width="9" style="1513"/>
    <col min="10498" max="10498" width="16.1" style="1513" customWidth="1"/>
    <col min="10499" max="10499" width="13.9" style="1513" customWidth="1"/>
    <col min="10500" max="10500" width="11.6" style="1513" customWidth="1"/>
    <col min="10501" max="10501" width="9.4" style="1513" customWidth="1"/>
    <col min="10502" max="10502" width="10.1" style="1513" customWidth="1"/>
    <col min="10503" max="10503" width="8.5" style="1513" customWidth="1"/>
    <col min="10504" max="10504" width="17.1" style="1513" customWidth="1"/>
    <col min="10505" max="10505" width="8.5" style="1513" customWidth="1"/>
    <col min="10506" max="10506" width="10.1" style="1513" customWidth="1"/>
    <col min="10507" max="10507" width="9.5" style="1513" customWidth="1"/>
    <col min="10508" max="10753" width="9" style="1513"/>
    <col min="10754" max="10754" width="16.1" style="1513" customWidth="1"/>
    <col min="10755" max="10755" width="13.9" style="1513" customWidth="1"/>
    <col min="10756" max="10756" width="11.6" style="1513" customWidth="1"/>
    <col min="10757" max="10757" width="9.4" style="1513" customWidth="1"/>
    <col min="10758" max="10758" width="10.1" style="1513" customWidth="1"/>
    <col min="10759" max="10759" width="8.5" style="1513" customWidth="1"/>
    <col min="10760" max="10760" width="17.1" style="1513" customWidth="1"/>
    <col min="10761" max="10761" width="8.5" style="1513" customWidth="1"/>
    <col min="10762" max="10762" width="10.1" style="1513" customWidth="1"/>
    <col min="10763" max="10763" width="9.5" style="1513" customWidth="1"/>
    <col min="10764" max="11009" width="9" style="1513"/>
    <col min="11010" max="11010" width="16.1" style="1513" customWidth="1"/>
    <col min="11011" max="11011" width="13.9" style="1513" customWidth="1"/>
    <col min="11012" max="11012" width="11.6" style="1513" customWidth="1"/>
    <col min="11013" max="11013" width="9.4" style="1513" customWidth="1"/>
    <col min="11014" max="11014" width="10.1" style="1513" customWidth="1"/>
    <col min="11015" max="11015" width="8.5" style="1513" customWidth="1"/>
    <col min="11016" max="11016" width="17.1" style="1513" customWidth="1"/>
    <col min="11017" max="11017" width="8.5" style="1513" customWidth="1"/>
    <col min="11018" max="11018" width="10.1" style="1513" customWidth="1"/>
    <col min="11019" max="11019" width="9.5" style="1513" customWidth="1"/>
    <col min="11020" max="11265" width="9" style="1513"/>
    <col min="11266" max="11266" width="16.1" style="1513" customWidth="1"/>
    <col min="11267" max="11267" width="13.9" style="1513" customWidth="1"/>
    <col min="11268" max="11268" width="11.6" style="1513" customWidth="1"/>
    <col min="11269" max="11269" width="9.4" style="1513" customWidth="1"/>
    <col min="11270" max="11270" width="10.1" style="1513" customWidth="1"/>
    <col min="11271" max="11271" width="8.5" style="1513" customWidth="1"/>
    <col min="11272" max="11272" width="17.1" style="1513" customWidth="1"/>
    <col min="11273" max="11273" width="8.5" style="1513" customWidth="1"/>
    <col min="11274" max="11274" width="10.1" style="1513" customWidth="1"/>
    <col min="11275" max="11275" width="9.5" style="1513" customWidth="1"/>
    <col min="11276" max="11521" width="9" style="1513"/>
    <col min="11522" max="11522" width="16.1" style="1513" customWidth="1"/>
    <col min="11523" max="11523" width="13.9" style="1513" customWidth="1"/>
    <col min="11524" max="11524" width="11.6" style="1513" customWidth="1"/>
    <col min="11525" max="11525" width="9.4" style="1513" customWidth="1"/>
    <col min="11526" max="11526" width="10.1" style="1513" customWidth="1"/>
    <col min="11527" max="11527" width="8.5" style="1513" customWidth="1"/>
    <col min="11528" max="11528" width="17.1" style="1513" customWidth="1"/>
    <col min="11529" max="11529" width="8.5" style="1513" customWidth="1"/>
    <col min="11530" max="11530" width="10.1" style="1513" customWidth="1"/>
    <col min="11531" max="11531" width="9.5" style="1513" customWidth="1"/>
    <col min="11532" max="11777" width="9" style="1513"/>
    <col min="11778" max="11778" width="16.1" style="1513" customWidth="1"/>
    <col min="11779" max="11779" width="13.9" style="1513" customWidth="1"/>
    <col min="11780" max="11780" width="11.6" style="1513" customWidth="1"/>
    <col min="11781" max="11781" width="9.4" style="1513" customWidth="1"/>
    <col min="11782" max="11782" width="10.1" style="1513" customWidth="1"/>
    <col min="11783" max="11783" width="8.5" style="1513" customWidth="1"/>
    <col min="11784" max="11784" width="17.1" style="1513" customWidth="1"/>
    <col min="11785" max="11785" width="8.5" style="1513" customWidth="1"/>
    <col min="11786" max="11786" width="10.1" style="1513" customWidth="1"/>
    <col min="11787" max="11787" width="9.5" style="1513" customWidth="1"/>
    <col min="11788" max="12033" width="9" style="1513"/>
    <col min="12034" max="12034" width="16.1" style="1513" customWidth="1"/>
    <col min="12035" max="12035" width="13.9" style="1513" customWidth="1"/>
    <col min="12036" max="12036" width="11.6" style="1513" customWidth="1"/>
    <col min="12037" max="12037" width="9.4" style="1513" customWidth="1"/>
    <col min="12038" max="12038" width="10.1" style="1513" customWidth="1"/>
    <col min="12039" max="12039" width="8.5" style="1513" customWidth="1"/>
    <col min="12040" max="12040" width="17.1" style="1513" customWidth="1"/>
    <col min="12041" max="12041" width="8.5" style="1513" customWidth="1"/>
    <col min="12042" max="12042" width="10.1" style="1513" customWidth="1"/>
    <col min="12043" max="12043" width="9.5" style="1513" customWidth="1"/>
    <col min="12044" max="12289" width="9" style="1513"/>
    <col min="12290" max="12290" width="16.1" style="1513" customWidth="1"/>
    <col min="12291" max="12291" width="13.9" style="1513" customWidth="1"/>
    <col min="12292" max="12292" width="11.6" style="1513" customWidth="1"/>
    <col min="12293" max="12293" width="9.4" style="1513" customWidth="1"/>
    <col min="12294" max="12294" width="10.1" style="1513" customWidth="1"/>
    <col min="12295" max="12295" width="8.5" style="1513" customWidth="1"/>
    <col min="12296" max="12296" width="17.1" style="1513" customWidth="1"/>
    <col min="12297" max="12297" width="8.5" style="1513" customWidth="1"/>
    <col min="12298" max="12298" width="10.1" style="1513" customWidth="1"/>
    <col min="12299" max="12299" width="9.5" style="1513" customWidth="1"/>
    <col min="12300" max="12545" width="9" style="1513"/>
    <col min="12546" max="12546" width="16.1" style="1513" customWidth="1"/>
    <col min="12547" max="12547" width="13.9" style="1513" customWidth="1"/>
    <col min="12548" max="12548" width="11.6" style="1513" customWidth="1"/>
    <col min="12549" max="12549" width="9.4" style="1513" customWidth="1"/>
    <col min="12550" max="12550" width="10.1" style="1513" customWidth="1"/>
    <col min="12551" max="12551" width="8.5" style="1513" customWidth="1"/>
    <col min="12552" max="12552" width="17.1" style="1513" customWidth="1"/>
    <col min="12553" max="12553" width="8.5" style="1513" customWidth="1"/>
    <col min="12554" max="12554" width="10.1" style="1513" customWidth="1"/>
    <col min="12555" max="12555" width="9.5" style="1513" customWidth="1"/>
    <col min="12556" max="12801" width="9" style="1513"/>
    <col min="12802" max="12802" width="16.1" style="1513" customWidth="1"/>
    <col min="12803" max="12803" width="13.9" style="1513" customWidth="1"/>
    <col min="12804" max="12804" width="11.6" style="1513" customWidth="1"/>
    <col min="12805" max="12805" width="9.4" style="1513" customWidth="1"/>
    <col min="12806" max="12806" width="10.1" style="1513" customWidth="1"/>
    <col min="12807" max="12807" width="8.5" style="1513" customWidth="1"/>
    <col min="12808" max="12808" width="17.1" style="1513" customWidth="1"/>
    <col min="12809" max="12809" width="8.5" style="1513" customWidth="1"/>
    <col min="12810" max="12810" width="10.1" style="1513" customWidth="1"/>
    <col min="12811" max="12811" width="9.5" style="1513" customWidth="1"/>
    <col min="12812" max="13057" width="9" style="1513"/>
    <col min="13058" max="13058" width="16.1" style="1513" customWidth="1"/>
    <col min="13059" max="13059" width="13.9" style="1513" customWidth="1"/>
    <col min="13060" max="13060" width="11.6" style="1513" customWidth="1"/>
    <col min="13061" max="13061" width="9.4" style="1513" customWidth="1"/>
    <col min="13062" max="13062" width="10.1" style="1513" customWidth="1"/>
    <col min="13063" max="13063" width="8.5" style="1513" customWidth="1"/>
    <col min="13064" max="13064" width="17.1" style="1513" customWidth="1"/>
    <col min="13065" max="13065" width="8.5" style="1513" customWidth="1"/>
    <col min="13066" max="13066" width="10.1" style="1513" customWidth="1"/>
    <col min="13067" max="13067" width="9.5" style="1513" customWidth="1"/>
    <col min="13068" max="13313" width="9" style="1513"/>
    <col min="13314" max="13314" width="16.1" style="1513" customWidth="1"/>
    <col min="13315" max="13315" width="13.9" style="1513" customWidth="1"/>
    <col min="13316" max="13316" width="11.6" style="1513" customWidth="1"/>
    <col min="13317" max="13317" width="9.4" style="1513" customWidth="1"/>
    <col min="13318" max="13318" width="10.1" style="1513" customWidth="1"/>
    <col min="13319" max="13319" width="8.5" style="1513" customWidth="1"/>
    <col min="13320" max="13320" width="17.1" style="1513" customWidth="1"/>
    <col min="13321" max="13321" width="8.5" style="1513" customWidth="1"/>
    <col min="13322" max="13322" width="10.1" style="1513" customWidth="1"/>
    <col min="13323" max="13323" width="9.5" style="1513" customWidth="1"/>
    <col min="13324" max="13569" width="9" style="1513"/>
    <col min="13570" max="13570" width="16.1" style="1513" customWidth="1"/>
    <col min="13571" max="13571" width="13.9" style="1513" customWidth="1"/>
    <col min="13572" max="13572" width="11.6" style="1513" customWidth="1"/>
    <col min="13573" max="13573" width="9.4" style="1513" customWidth="1"/>
    <col min="13574" max="13574" width="10.1" style="1513" customWidth="1"/>
    <col min="13575" max="13575" width="8.5" style="1513" customWidth="1"/>
    <col min="13576" max="13576" width="17.1" style="1513" customWidth="1"/>
    <col min="13577" max="13577" width="8.5" style="1513" customWidth="1"/>
    <col min="13578" max="13578" width="10.1" style="1513" customWidth="1"/>
    <col min="13579" max="13579" width="9.5" style="1513" customWidth="1"/>
    <col min="13580" max="13825" width="9" style="1513"/>
    <col min="13826" max="13826" width="16.1" style="1513" customWidth="1"/>
    <col min="13827" max="13827" width="13.9" style="1513" customWidth="1"/>
    <col min="13828" max="13828" width="11.6" style="1513" customWidth="1"/>
    <col min="13829" max="13829" width="9.4" style="1513" customWidth="1"/>
    <col min="13830" max="13830" width="10.1" style="1513" customWidth="1"/>
    <col min="13831" max="13831" width="8.5" style="1513" customWidth="1"/>
    <col min="13832" max="13832" width="17.1" style="1513" customWidth="1"/>
    <col min="13833" max="13833" width="8.5" style="1513" customWidth="1"/>
    <col min="13834" max="13834" width="10.1" style="1513" customWidth="1"/>
    <col min="13835" max="13835" width="9.5" style="1513" customWidth="1"/>
    <col min="13836" max="14081" width="9" style="1513"/>
    <col min="14082" max="14082" width="16.1" style="1513" customWidth="1"/>
    <col min="14083" max="14083" width="13.9" style="1513" customWidth="1"/>
    <col min="14084" max="14084" width="11.6" style="1513" customWidth="1"/>
    <col min="14085" max="14085" width="9.4" style="1513" customWidth="1"/>
    <col min="14086" max="14086" width="10.1" style="1513" customWidth="1"/>
    <col min="14087" max="14087" width="8.5" style="1513" customWidth="1"/>
    <col min="14088" max="14088" width="17.1" style="1513" customWidth="1"/>
    <col min="14089" max="14089" width="8.5" style="1513" customWidth="1"/>
    <col min="14090" max="14090" width="10.1" style="1513" customWidth="1"/>
    <col min="14091" max="14091" width="9.5" style="1513" customWidth="1"/>
    <col min="14092" max="14337" width="9" style="1513"/>
    <col min="14338" max="14338" width="16.1" style="1513" customWidth="1"/>
    <col min="14339" max="14339" width="13.9" style="1513" customWidth="1"/>
    <col min="14340" max="14340" width="11.6" style="1513" customWidth="1"/>
    <col min="14341" max="14341" width="9.4" style="1513" customWidth="1"/>
    <col min="14342" max="14342" width="10.1" style="1513" customWidth="1"/>
    <col min="14343" max="14343" width="8.5" style="1513" customWidth="1"/>
    <col min="14344" max="14344" width="17.1" style="1513" customWidth="1"/>
    <col min="14345" max="14345" width="8.5" style="1513" customWidth="1"/>
    <col min="14346" max="14346" width="10.1" style="1513" customWidth="1"/>
    <col min="14347" max="14347" width="9.5" style="1513" customWidth="1"/>
    <col min="14348" max="14593" width="9" style="1513"/>
    <col min="14594" max="14594" width="16.1" style="1513" customWidth="1"/>
    <col min="14595" max="14595" width="13.9" style="1513" customWidth="1"/>
    <col min="14596" max="14596" width="11.6" style="1513" customWidth="1"/>
    <col min="14597" max="14597" width="9.4" style="1513" customWidth="1"/>
    <col min="14598" max="14598" width="10.1" style="1513" customWidth="1"/>
    <col min="14599" max="14599" width="8.5" style="1513" customWidth="1"/>
    <col min="14600" max="14600" width="17.1" style="1513" customWidth="1"/>
    <col min="14601" max="14601" width="8.5" style="1513" customWidth="1"/>
    <col min="14602" max="14602" width="10.1" style="1513" customWidth="1"/>
    <col min="14603" max="14603" width="9.5" style="1513" customWidth="1"/>
    <col min="14604" max="14849" width="9" style="1513"/>
    <col min="14850" max="14850" width="16.1" style="1513" customWidth="1"/>
    <col min="14851" max="14851" width="13.9" style="1513" customWidth="1"/>
    <col min="14852" max="14852" width="11.6" style="1513" customWidth="1"/>
    <col min="14853" max="14853" width="9.4" style="1513" customWidth="1"/>
    <col min="14854" max="14854" width="10.1" style="1513" customWidth="1"/>
    <col min="14855" max="14855" width="8.5" style="1513" customWidth="1"/>
    <col min="14856" max="14856" width="17.1" style="1513" customWidth="1"/>
    <col min="14857" max="14857" width="8.5" style="1513" customWidth="1"/>
    <col min="14858" max="14858" width="10.1" style="1513" customWidth="1"/>
    <col min="14859" max="14859" width="9.5" style="1513" customWidth="1"/>
    <col min="14860" max="15105" width="9" style="1513"/>
    <col min="15106" max="15106" width="16.1" style="1513" customWidth="1"/>
    <col min="15107" max="15107" width="13.9" style="1513" customWidth="1"/>
    <col min="15108" max="15108" width="11.6" style="1513" customWidth="1"/>
    <col min="15109" max="15109" width="9.4" style="1513" customWidth="1"/>
    <col min="15110" max="15110" width="10.1" style="1513" customWidth="1"/>
    <col min="15111" max="15111" width="8.5" style="1513" customWidth="1"/>
    <col min="15112" max="15112" width="17.1" style="1513" customWidth="1"/>
    <col min="15113" max="15113" width="8.5" style="1513" customWidth="1"/>
    <col min="15114" max="15114" width="10.1" style="1513" customWidth="1"/>
    <col min="15115" max="15115" width="9.5" style="1513" customWidth="1"/>
    <col min="15116" max="15361" width="9" style="1513"/>
    <col min="15362" max="15362" width="16.1" style="1513" customWidth="1"/>
    <col min="15363" max="15363" width="13.9" style="1513" customWidth="1"/>
    <col min="15364" max="15364" width="11.6" style="1513" customWidth="1"/>
    <col min="15365" max="15365" width="9.4" style="1513" customWidth="1"/>
    <col min="15366" max="15366" width="10.1" style="1513" customWidth="1"/>
    <col min="15367" max="15367" width="8.5" style="1513" customWidth="1"/>
    <col min="15368" max="15368" width="17.1" style="1513" customWidth="1"/>
    <col min="15369" max="15369" width="8.5" style="1513" customWidth="1"/>
    <col min="15370" max="15370" width="10.1" style="1513" customWidth="1"/>
    <col min="15371" max="15371" width="9.5" style="1513" customWidth="1"/>
    <col min="15372" max="15617" width="9" style="1513"/>
    <col min="15618" max="15618" width="16.1" style="1513" customWidth="1"/>
    <col min="15619" max="15619" width="13.9" style="1513" customWidth="1"/>
    <col min="15620" max="15620" width="11.6" style="1513" customWidth="1"/>
    <col min="15621" max="15621" width="9.4" style="1513" customWidth="1"/>
    <col min="15622" max="15622" width="10.1" style="1513" customWidth="1"/>
    <col min="15623" max="15623" width="8.5" style="1513" customWidth="1"/>
    <col min="15624" max="15624" width="17.1" style="1513" customWidth="1"/>
    <col min="15625" max="15625" width="8.5" style="1513" customWidth="1"/>
    <col min="15626" max="15626" width="10.1" style="1513" customWidth="1"/>
    <col min="15627" max="15627" width="9.5" style="1513" customWidth="1"/>
    <col min="15628" max="15873" width="9" style="1513"/>
    <col min="15874" max="15874" width="16.1" style="1513" customWidth="1"/>
    <col min="15875" max="15875" width="13.9" style="1513" customWidth="1"/>
    <col min="15876" max="15876" width="11.6" style="1513" customWidth="1"/>
    <col min="15877" max="15877" width="9.4" style="1513" customWidth="1"/>
    <col min="15878" max="15878" width="10.1" style="1513" customWidth="1"/>
    <col min="15879" max="15879" width="8.5" style="1513" customWidth="1"/>
    <col min="15880" max="15880" width="17.1" style="1513" customWidth="1"/>
    <col min="15881" max="15881" width="8.5" style="1513" customWidth="1"/>
    <col min="15882" max="15882" width="10.1" style="1513" customWidth="1"/>
    <col min="15883" max="15883" width="9.5" style="1513" customWidth="1"/>
    <col min="15884" max="16129" width="9" style="1513"/>
    <col min="16130" max="16130" width="16.1" style="1513" customWidth="1"/>
    <col min="16131" max="16131" width="13.9" style="1513" customWidth="1"/>
    <col min="16132" max="16132" width="11.6" style="1513" customWidth="1"/>
    <col min="16133" max="16133" width="9.4" style="1513" customWidth="1"/>
    <col min="16134" max="16134" width="10.1" style="1513" customWidth="1"/>
    <col min="16135" max="16135" width="8.5" style="1513" customWidth="1"/>
    <col min="16136" max="16136" width="17.1" style="1513" customWidth="1"/>
    <col min="16137" max="16137" width="8.5" style="1513" customWidth="1"/>
    <col min="16138" max="16138" width="10.1" style="1513" customWidth="1"/>
    <col min="16139" max="16139" width="9.5" style="1513" customWidth="1"/>
    <col min="16140" max="16384" width="9" style="1513"/>
  </cols>
  <sheetData>
    <row r="1" spans="1:13">
      <c r="A1" s="1566" t="s">
        <v>259</v>
      </c>
      <c r="B1" s="1567"/>
      <c r="C1" s="1567"/>
      <c r="D1" s="1567"/>
      <c r="E1" s="1567"/>
      <c r="F1" s="1567"/>
      <c r="G1" s="1567"/>
      <c r="H1" s="1538"/>
      <c r="I1" s="1538"/>
      <c r="J1" s="1538"/>
      <c r="K1" s="1538"/>
      <c r="L1" s="1538"/>
      <c r="M1" s="1538"/>
    </row>
    <row r="2" spans="1:13">
      <c r="A2" s="1568" t="s">
        <v>244</v>
      </c>
      <c r="B2" s="1569" t="s">
        <v>202</v>
      </c>
      <c r="C2" s="1569" t="s">
        <v>195</v>
      </c>
      <c r="D2" s="1569" t="s">
        <v>63</v>
      </c>
      <c r="E2" s="1569" t="s">
        <v>245</v>
      </c>
      <c r="F2" s="1569" t="s">
        <v>199</v>
      </c>
      <c r="G2" s="1569" t="s">
        <v>2</v>
      </c>
      <c r="H2" s="1538"/>
      <c r="I2" s="1538"/>
      <c r="J2" s="1538"/>
      <c r="K2" s="1538"/>
      <c r="L2" s="1538"/>
      <c r="M2" s="1538"/>
    </row>
    <row r="3" spans="1:13">
      <c r="A3" s="1568" t="s">
        <v>50</v>
      </c>
      <c r="B3" s="1570">
        <v>576.741193381094</v>
      </c>
      <c r="C3" s="1571">
        <v>93600</v>
      </c>
      <c r="D3" s="1571"/>
      <c r="E3" s="1571"/>
      <c r="F3" s="1571"/>
      <c r="G3" s="1571">
        <v>94176.7411933811</v>
      </c>
      <c r="H3" s="1538"/>
      <c r="I3" s="1538"/>
      <c r="J3" s="1538"/>
      <c r="K3" s="1538"/>
      <c r="L3" s="1538"/>
      <c r="M3" s="1538"/>
    </row>
    <row r="4" spans="1:13">
      <c r="A4" s="1568" t="s">
        <v>52</v>
      </c>
      <c r="B4" s="1570">
        <v>576.741193381094</v>
      </c>
      <c r="C4" s="1571">
        <v>93600</v>
      </c>
      <c r="D4" s="1571"/>
      <c r="E4" s="1571">
        <v>0</v>
      </c>
      <c r="F4" s="1571">
        <v>3000</v>
      </c>
      <c r="G4" s="1571">
        <v>97176.7411933811</v>
      </c>
      <c r="H4" s="1538"/>
      <c r="I4" s="1538"/>
      <c r="J4" s="1538"/>
      <c r="K4" s="1538"/>
      <c r="L4" s="1538"/>
      <c r="M4" s="1538"/>
    </row>
    <row r="5" spans="1:13">
      <c r="A5" s="1568" t="s">
        <v>53</v>
      </c>
      <c r="B5" s="1570">
        <v>0</v>
      </c>
      <c r="C5" s="1571">
        <v>0</v>
      </c>
      <c r="D5" s="1571">
        <v>13190</v>
      </c>
      <c r="E5" s="1571"/>
      <c r="F5" s="1571"/>
      <c r="G5" s="1571">
        <v>13190</v>
      </c>
      <c r="H5" s="1538"/>
      <c r="I5" s="1538"/>
      <c r="J5" s="1538"/>
      <c r="K5" s="1538"/>
      <c r="L5" s="1538"/>
      <c r="M5" s="1538"/>
    </row>
    <row r="6" spans="1:13">
      <c r="A6" s="1568" t="s">
        <v>2</v>
      </c>
      <c r="B6" s="1572">
        <v>1153.48238676219</v>
      </c>
      <c r="C6" s="1573">
        <v>187200</v>
      </c>
      <c r="D6" s="1573">
        <v>13190</v>
      </c>
      <c r="E6" s="1573">
        <v>0</v>
      </c>
      <c r="F6" s="1573">
        <v>3000</v>
      </c>
      <c r="G6" s="1573">
        <v>204543.482386762</v>
      </c>
      <c r="H6" s="1538"/>
      <c r="I6" s="1538"/>
      <c r="J6" s="1538"/>
      <c r="K6" s="1538"/>
      <c r="L6" s="1538"/>
      <c r="M6" s="1538"/>
    </row>
    <row r="7" spans="1:13">
      <c r="A7" s="1567"/>
      <c r="B7" s="1574">
        <v>0</v>
      </c>
      <c r="C7" s="1538">
        <v>0</v>
      </c>
      <c r="D7" s="1538">
        <v>0</v>
      </c>
      <c r="E7" s="1538"/>
      <c r="F7" s="1538"/>
      <c r="G7" s="1538"/>
      <c r="H7" s="1538"/>
      <c r="I7" s="1538"/>
      <c r="J7" s="1538"/>
      <c r="K7" s="1538"/>
      <c r="L7" s="1538"/>
      <c r="M7" s="1538"/>
    </row>
    <row r="8" spans="1:13">
      <c r="A8" s="1566" t="s">
        <v>260</v>
      </c>
      <c r="D8" s="1567"/>
      <c r="E8" s="1567"/>
      <c r="F8" s="1567"/>
      <c r="G8" s="1567" t="s">
        <v>261</v>
      </c>
      <c r="H8" s="1538"/>
      <c r="I8" s="1538"/>
      <c r="J8" s="1538"/>
      <c r="K8" s="1538"/>
      <c r="L8" s="1538"/>
      <c r="M8" s="1538"/>
    </row>
    <row r="9" spans="1:13">
      <c r="A9" s="1575" t="s">
        <v>262</v>
      </c>
      <c r="B9" s="1576">
        <v>42978</v>
      </c>
      <c r="C9" s="1577"/>
      <c r="D9" s="1567"/>
      <c r="E9" s="1567"/>
      <c r="F9" s="1567"/>
      <c r="G9" s="1567"/>
      <c r="H9" s="1538"/>
      <c r="I9" s="1538"/>
      <c r="J9" s="1538"/>
      <c r="K9" s="1538"/>
      <c r="L9" s="1538"/>
      <c r="M9" s="1538"/>
    </row>
    <row r="10" spans="1:13">
      <c r="A10" s="1575" t="s">
        <v>263</v>
      </c>
      <c r="B10" s="1576">
        <v>44360</v>
      </c>
      <c r="C10" s="1577"/>
      <c r="D10" s="1567"/>
      <c r="E10" s="1567"/>
      <c r="F10" s="1567"/>
      <c r="G10" s="1567"/>
      <c r="H10" s="1538"/>
      <c r="I10" s="1538"/>
      <c r="J10" s="1538"/>
      <c r="K10" s="1538"/>
      <c r="L10" s="1538"/>
      <c r="M10" s="1538"/>
    </row>
    <row r="11" spans="1:8">
      <c r="A11" s="1575" t="s">
        <v>263</v>
      </c>
      <c r="B11" s="1578" t="s">
        <v>264</v>
      </c>
      <c r="C11" s="1577"/>
      <c r="D11" s="1567"/>
      <c r="E11" s="1567"/>
      <c r="F11" s="1567"/>
      <c r="G11" s="1567"/>
      <c r="H11" s="1567"/>
    </row>
    <row r="12" spans="1:6">
      <c r="A12" s="1579" t="s">
        <v>265</v>
      </c>
      <c r="B12" s="1580" t="s">
        <v>266</v>
      </c>
      <c r="C12" s="1579" t="s">
        <v>267</v>
      </c>
      <c r="D12" s="1579" t="s">
        <v>268</v>
      </c>
      <c r="E12" s="1579" t="s">
        <v>269</v>
      </c>
      <c r="F12" s="1579" t="s">
        <v>270</v>
      </c>
    </row>
    <row r="13" spans="1:6">
      <c r="A13" s="1568" t="s">
        <v>50</v>
      </c>
      <c r="B13" s="1581">
        <v>43244</v>
      </c>
      <c r="C13" s="1581">
        <v>43424</v>
      </c>
      <c r="D13" s="1581">
        <v>43905</v>
      </c>
      <c r="E13" s="1578" t="s">
        <v>137</v>
      </c>
      <c r="F13" s="1582">
        <v>22.0333333333333</v>
      </c>
    </row>
    <row r="14" spans="1:6">
      <c r="A14" s="1568" t="s">
        <v>52</v>
      </c>
      <c r="B14" s="1581">
        <v>43609</v>
      </c>
      <c r="C14" s="1581">
        <v>43825</v>
      </c>
      <c r="D14" s="1581">
        <v>44270</v>
      </c>
      <c r="E14" s="1578" t="s">
        <v>271</v>
      </c>
      <c r="F14" s="1582">
        <v>22.0333333333333</v>
      </c>
    </row>
    <row r="15" spans="1:6">
      <c r="A15" s="1568" t="s">
        <v>53</v>
      </c>
      <c r="B15" s="1581">
        <v>43244</v>
      </c>
      <c r="C15" s="1581">
        <v>43905</v>
      </c>
      <c r="D15" s="1581">
        <v>43905</v>
      </c>
      <c r="E15" s="1578" t="s">
        <v>137</v>
      </c>
      <c r="F15" s="1582">
        <v>22.0333333333333</v>
      </c>
    </row>
    <row r="17" spans="1:2">
      <c r="A17" s="1566" t="s">
        <v>272</v>
      </c>
      <c r="B17" s="1567"/>
    </row>
    <row r="18" spans="1:2">
      <c r="A18" s="1579" t="s">
        <v>273</v>
      </c>
      <c r="B18" s="1583">
        <v>0.046</v>
      </c>
    </row>
    <row r="19" spans="1:2">
      <c r="A19" s="1584" t="s">
        <v>274</v>
      </c>
      <c r="B19" s="1585">
        <v>524.3</v>
      </c>
    </row>
    <row r="20" spans="1:2">
      <c r="A20" s="1584" t="s">
        <v>275</v>
      </c>
      <c r="B20" s="1583">
        <v>0.0437323772979041</v>
      </c>
    </row>
    <row r="21" ht="11.25" customHeight="1" spans="1:2">
      <c r="A21" s="1568" t="s">
        <v>276</v>
      </c>
      <c r="B21" s="1586">
        <v>0.023</v>
      </c>
    </row>
    <row r="22" spans="1:2">
      <c r="A22" s="1566"/>
      <c r="B22" s="1567"/>
    </row>
    <row r="23" spans="1:2">
      <c r="A23" s="1566" t="s">
        <v>277</v>
      </c>
      <c r="B23" s="1567"/>
    </row>
    <row r="24" spans="1:2">
      <c r="A24" s="1587" t="s">
        <v>278</v>
      </c>
      <c r="B24" s="1587" t="s">
        <v>279</v>
      </c>
    </row>
    <row r="25" spans="1:2">
      <c r="A25" s="1588"/>
      <c r="B25" s="1588"/>
    </row>
    <row r="26" spans="1:2">
      <c r="A26" s="1575" t="s">
        <v>280</v>
      </c>
      <c r="B26" s="1589">
        <v>0.00511179716476877</v>
      </c>
    </row>
    <row r="27" spans="1:2">
      <c r="A27" s="1590" t="s">
        <v>281</v>
      </c>
      <c r="B27" s="1591">
        <v>0.1</v>
      </c>
    </row>
    <row r="28" spans="1:2">
      <c r="A28" s="1575" t="s">
        <v>282</v>
      </c>
      <c r="B28" s="1591">
        <v>0.25</v>
      </c>
    </row>
    <row r="29" spans="2:2">
      <c r="B29" s="1592"/>
    </row>
    <row r="30" spans="1:2">
      <c r="A30" s="1593" t="s">
        <v>17</v>
      </c>
      <c r="B30" s="1592"/>
    </row>
    <row r="31" spans="1:2">
      <c r="A31" s="1575" t="s">
        <v>283</v>
      </c>
      <c r="B31" s="1571">
        <v>25433.2433463004</v>
      </c>
    </row>
    <row r="32" spans="1:6">
      <c r="A32" s="1575" t="s">
        <v>284</v>
      </c>
      <c r="B32" s="1571">
        <v>15584.0326471722</v>
      </c>
      <c r="C32" s="1594"/>
      <c r="D32" s="1594"/>
      <c r="E32" s="1594"/>
      <c r="F32" s="1594"/>
    </row>
    <row r="33" spans="1:2">
      <c r="A33" s="1575" t="s">
        <v>285</v>
      </c>
      <c r="B33" s="1595">
        <v>0.0425983097064064</v>
      </c>
    </row>
    <row r="34" spans="2:2">
      <c r="B34" s="1592"/>
    </row>
    <row r="35" spans="1:1">
      <c r="A35" s="1593" t="s">
        <v>286</v>
      </c>
    </row>
    <row r="36" spans="1:8">
      <c r="A36" s="1568" t="s">
        <v>244</v>
      </c>
      <c r="B36" s="1569" t="s">
        <v>202</v>
      </c>
      <c r="C36" s="1569" t="s">
        <v>195</v>
      </c>
      <c r="D36" s="1569" t="s">
        <v>199</v>
      </c>
      <c r="E36" s="1569" t="s">
        <v>63</v>
      </c>
      <c r="F36" s="1569" t="s">
        <v>245</v>
      </c>
      <c r="G36" s="1569" t="s">
        <v>2</v>
      </c>
      <c r="H36" s="1569" t="s">
        <v>287</v>
      </c>
    </row>
    <row r="37" spans="1:9">
      <c r="A37" s="1568" t="s">
        <v>50</v>
      </c>
      <c r="B37" s="1578">
        <v>3117.51996422213</v>
      </c>
      <c r="C37" s="1578">
        <v>102655.699177438</v>
      </c>
      <c r="D37" s="1578">
        <v>0</v>
      </c>
      <c r="E37" s="1578">
        <v>0</v>
      </c>
      <c r="F37" s="1578">
        <v>0</v>
      </c>
      <c r="G37" s="1578">
        <v>105773.21914166</v>
      </c>
      <c r="H37" s="1596">
        <v>0.02</v>
      </c>
      <c r="I37" s="1594">
        <v>0</v>
      </c>
    </row>
    <row r="38" spans="1:9">
      <c r="A38" s="1568" t="s">
        <v>52</v>
      </c>
      <c r="B38" s="1578">
        <v>3117.51996422213</v>
      </c>
      <c r="C38" s="1578">
        <v>102655.699177438</v>
      </c>
      <c r="D38" s="1578">
        <v>5405.4054054054</v>
      </c>
      <c r="E38" s="1578">
        <v>0</v>
      </c>
      <c r="F38" s="1578">
        <v>0</v>
      </c>
      <c r="G38" s="1578">
        <v>111178.624547066</v>
      </c>
      <c r="H38" s="1596">
        <v>0.02</v>
      </c>
      <c r="I38" s="1594">
        <v>0</v>
      </c>
    </row>
    <row r="39" spans="1:9">
      <c r="A39" s="1568" t="s">
        <v>53</v>
      </c>
      <c r="B39" s="1578">
        <v>0</v>
      </c>
      <c r="C39" s="1578">
        <v>0</v>
      </c>
      <c r="D39" s="1578">
        <v>0</v>
      </c>
      <c r="E39" s="1578">
        <v>14259.4594594595</v>
      </c>
      <c r="F39" s="1578">
        <v>0</v>
      </c>
      <c r="G39" s="1578">
        <v>14259.4594594595</v>
      </c>
      <c r="H39" s="1596">
        <v>0.02</v>
      </c>
      <c r="I39" s="1594">
        <v>0</v>
      </c>
    </row>
    <row r="40" spans="1:9">
      <c r="A40" s="1568" t="s">
        <v>2</v>
      </c>
      <c r="B40" s="1572">
        <v>6235.03992844426</v>
      </c>
      <c r="C40" s="1573">
        <v>205311.398354877</v>
      </c>
      <c r="D40" s="1573">
        <v>5405.4054054054</v>
      </c>
      <c r="E40" s="1573">
        <v>14259.4594594595</v>
      </c>
      <c r="F40" s="1573">
        <v>0</v>
      </c>
      <c r="G40" s="1597">
        <v>231211.303148186</v>
      </c>
      <c r="H40" s="1598">
        <v>0.02</v>
      </c>
      <c r="I40" s="1594">
        <v>0</v>
      </c>
    </row>
    <row r="41" spans="1:8">
      <c r="A41" s="1599" t="s">
        <v>288</v>
      </c>
      <c r="B41" s="1600">
        <v>0.02</v>
      </c>
      <c r="C41" s="1600">
        <v>0.02</v>
      </c>
      <c r="D41" s="1601">
        <v>0.02</v>
      </c>
      <c r="E41" s="1601">
        <v>0.02</v>
      </c>
      <c r="F41" s="1601">
        <v>0.02</v>
      </c>
      <c r="G41" s="1602"/>
      <c r="H41" s="1600"/>
    </row>
  </sheetData>
  <mergeCells count="2">
    <mergeCell ref="A24:A25"/>
    <mergeCell ref="B24:B25"/>
  </mergeCell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4" tint="0.399975585192419"/>
  </sheetPr>
  <dimension ref="A1:AT119"/>
  <sheetViews>
    <sheetView workbookViewId="0">
      <selection activeCell="Q11" sqref="Q11"/>
    </sheetView>
  </sheetViews>
  <sheetFormatPr defaultColWidth="9" defaultRowHeight="12"/>
  <cols>
    <col min="1" max="1" width="13.5" style="1481" customWidth="1"/>
    <col min="2" max="2" width="9.1" style="1482" customWidth="1"/>
    <col min="3" max="3" width="11.1" style="1481" customWidth="1"/>
    <col min="4" max="4" width="9" style="1481" hidden="1" customWidth="1"/>
    <col min="5" max="5" width="9.4" style="1481" hidden="1" customWidth="1"/>
    <col min="6" max="6" width="9" style="1481" hidden="1" customWidth="1"/>
    <col min="7" max="7" width="9.4" style="1481" hidden="1" customWidth="1"/>
    <col min="8" max="8" width="9" style="1481" hidden="1" customWidth="1"/>
    <col min="9" max="9" width="10.1" style="1481" hidden="1" customWidth="1"/>
    <col min="10" max="12" width="9" style="1481" hidden="1" customWidth="1"/>
    <col min="13" max="13" width="9" style="1481"/>
    <col min="14" max="14" width="9.4" style="1481" customWidth="1"/>
    <col min="15" max="15" width="10.1" style="1481" customWidth="1"/>
    <col min="16" max="16" width="9.4" style="1481" customWidth="1"/>
    <col min="17" max="18" width="9" style="1481"/>
    <col min="19" max="19" width="9.4" style="1481" customWidth="1"/>
    <col min="20" max="28" width="9" style="1481"/>
    <col min="29" max="29" width="10.1" style="1481" customWidth="1"/>
    <col min="30" max="44" width="9" style="1481"/>
    <col min="45" max="46" width="9.4" style="1481" customWidth="1"/>
    <col min="47" max="259" width="9" style="1481"/>
    <col min="260" max="260" width="13.5" style="1481" customWidth="1"/>
    <col min="261" max="261" width="9.1" style="1481" customWidth="1"/>
    <col min="262" max="262" width="11.1" style="1481" customWidth="1"/>
    <col min="263" max="265" width="9" style="1481"/>
    <col min="266" max="266" width="9.4" style="1481" customWidth="1"/>
    <col min="267" max="267" width="9" style="1481"/>
    <col min="268" max="268" width="9.4" style="1481" customWidth="1"/>
    <col min="269" max="271" width="9" style="1481"/>
    <col min="272" max="272" width="9.4" style="1481" customWidth="1"/>
    <col min="273" max="273" width="9" style="1481"/>
    <col min="274" max="274" width="9.4" style="1481" customWidth="1"/>
    <col min="275" max="278" width="9" style="1481"/>
    <col min="279" max="279" width="9.4" style="1481" customWidth="1"/>
    <col min="280" max="280" width="9" style="1481"/>
    <col min="281" max="281" width="9.4" style="1481" customWidth="1"/>
    <col min="282" max="300" width="9" style="1481"/>
    <col min="301" max="302" width="9.4" style="1481" customWidth="1"/>
    <col min="303" max="515" width="9" style="1481"/>
    <col min="516" max="516" width="13.5" style="1481" customWidth="1"/>
    <col min="517" max="517" width="9.1" style="1481" customWidth="1"/>
    <col min="518" max="518" width="11.1" style="1481" customWidth="1"/>
    <col min="519" max="521" width="9" style="1481"/>
    <col min="522" max="522" width="9.4" style="1481" customWidth="1"/>
    <col min="523" max="523" width="9" style="1481"/>
    <col min="524" max="524" width="9.4" style="1481" customWidth="1"/>
    <col min="525" max="527" width="9" style="1481"/>
    <col min="528" max="528" width="9.4" style="1481" customWidth="1"/>
    <col min="529" max="529" width="9" style="1481"/>
    <col min="530" max="530" width="9.4" style="1481" customWidth="1"/>
    <col min="531" max="534" width="9" style="1481"/>
    <col min="535" max="535" width="9.4" style="1481" customWidth="1"/>
    <col min="536" max="536" width="9" style="1481"/>
    <col min="537" max="537" width="9.4" style="1481" customWidth="1"/>
    <col min="538" max="556" width="9" style="1481"/>
    <col min="557" max="558" width="9.4" style="1481" customWidth="1"/>
    <col min="559" max="771" width="9" style="1481"/>
    <col min="772" max="772" width="13.5" style="1481" customWidth="1"/>
    <col min="773" max="773" width="9.1" style="1481" customWidth="1"/>
    <col min="774" max="774" width="11.1" style="1481" customWidth="1"/>
    <col min="775" max="777" width="9" style="1481"/>
    <col min="778" max="778" width="9.4" style="1481" customWidth="1"/>
    <col min="779" max="779" width="9" style="1481"/>
    <col min="780" max="780" width="9.4" style="1481" customWidth="1"/>
    <col min="781" max="783" width="9" style="1481"/>
    <col min="784" max="784" width="9.4" style="1481" customWidth="1"/>
    <col min="785" max="785" width="9" style="1481"/>
    <col min="786" max="786" width="9.4" style="1481" customWidth="1"/>
    <col min="787" max="790" width="9" style="1481"/>
    <col min="791" max="791" width="9.4" style="1481" customWidth="1"/>
    <col min="792" max="792" width="9" style="1481"/>
    <col min="793" max="793" width="9.4" style="1481" customWidth="1"/>
    <col min="794" max="812" width="9" style="1481"/>
    <col min="813" max="814" width="9.4" style="1481" customWidth="1"/>
    <col min="815" max="1027" width="9" style="1481"/>
    <col min="1028" max="1028" width="13.5" style="1481" customWidth="1"/>
    <col min="1029" max="1029" width="9.1" style="1481" customWidth="1"/>
    <col min="1030" max="1030" width="11.1" style="1481" customWidth="1"/>
    <col min="1031" max="1033" width="9" style="1481"/>
    <col min="1034" max="1034" width="9.4" style="1481" customWidth="1"/>
    <col min="1035" max="1035" width="9" style="1481"/>
    <col min="1036" max="1036" width="9.4" style="1481" customWidth="1"/>
    <col min="1037" max="1039" width="9" style="1481"/>
    <col min="1040" max="1040" width="9.4" style="1481" customWidth="1"/>
    <col min="1041" max="1041" width="9" style="1481"/>
    <col min="1042" max="1042" width="9.4" style="1481" customWidth="1"/>
    <col min="1043" max="1046" width="9" style="1481"/>
    <col min="1047" max="1047" width="9.4" style="1481" customWidth="1"/>
    <col min="1048" max="1048" width="9" style="1481"/>
    <col min="1049" max="1049" width="9.4" style="1481" customWidth="1"/>
    <col min="1050" max="1068" width="9" style="1481"/>
    <col min="1069" max="1070" width="9.4" style="1481" customWidth="1"/>
    <col min="1071" max="1283" width="9" style="1481"/>
    <col min="1284" max="1284" width="13.5" style="1481" customWidth="1"/>
    <col min="1285" max="1285" width="9.1" style="1481" customWidth="1"/>
    <col min="1286" max="1286" width="11.1" style="1481" customWidth="1"/>
    <col min="1287" max="1289" width="9" style="1481"/>
    <col min="1290" max="1290" width="9.4" style="1481" customWidth="1"/>
    <col min="1291" max="1291" width="9" style="1481"/>
    <col min="1292" max="1292" width="9.4" style="1481" customWidth="1"/>
    <col min="1293" max="1295" width="9" style="1481"/>
    <col min="1296" max="1296" width="9.4" style="1481" customWidth="1"/>
    <col min="1297" max="1297" width="9" style="1481"/>
    <col min="1298" max="1298" width="9.4" style="1481" customWidth="1"/>
    <col min="1299" max="1302" width="9" style="1481"/>
    <col min="1303" max="1303" width="9.4" style="1481" customWidth="1"/>
    <col min="1304" max="1304" width="9" style="1481"/>
    <col min="1305" max="1305" width="9.4" style="1481" customWidth="1"/>
    <col min="1306" max="1324" width="9" style="1481"/>
    <col min="1325" max="1326" width="9.4" style="1481" customWidth="1"/>
    <col min="1327" max="1539" width="9" style="1481"/>
    <col min="1540" max="1540" width="13.5" style="1481" customWidth="1"/>
    <col min="1541" max="1541" width="9.1" style="1481" customWidth="1"/>
    <col min="1542" max="1542" width="11.1" style="1481" customWidth="1"/>
    <col min="1543" max="1545" width="9" style="1481"/>
    <col min="1546" max="1546" width="9.4" style="1481" customWidth="1"/>
    <col min="1547" max="1547" width="9" style="1481"/>
    <col min="1548" max="1548" width="9.4" style="1481" customWidth="1"/>
    <col min="1549" max="1551" width="9" style="1481"/>
    <col min="1552" max="1552" width="9.4" style="1481" customWidth="1"/>
    <col min="1553" max="1553" width="9" style="1481"/>
    <col min="1554" max="1554" width="9.4" style="1481" customWidth="1"/>
    <col min="1555" max="1558" width="9" style="1481"/>
    <col min="1559" max="1559" width="9.4" style="1481" customWidth="1"/>
    <col min="1560" max="1560" width="9" style="1481"/>
    <col min="1561" max="1561" width="9.4" style="1481" customWidth="1"/>
    <col min="1562" max="1580" width="9" style="1481"/>
    <col min="1581" max="1582" width="9.4" style="1481" customWidth="1"/>
    <col min="1583" max="1795" width="9" style="1481"/>
    <col min="1796" max="1796" width="13.5" style="1481" customWidth="1"/>
    <col min="1797" max="1797" width="9.1" style="1481" customWidth="1"/>
    <col min="1798" max="1798" width="11.1" style="1481" customWidth="1"/>
    <col min="1799" max="1801" width="9" style="1481"/>
    <col min="1802" max="1802" width="9.4" style="1481" customWidth="1"/>
    <col min="1803" max="1803" width="9" style="1481"/>
    <col min="1804" max="1804" width="9.4" style="1481" customWidth="1"/>
    <col min="1805" max="1807" width="9" style="1481"/>
    <col min="1808" max="1808" width="9.4" style="1481" customWidth="1"/>
    <col min="1809" max="1809" width="9" style="1481"/>
    <col min="1810" max="1810" width="9.4" style="1481" customWidth="1"/>
    <col min="1811" max="1814" width="9" style="1481"/>
    <col min="1815" max="1815" width="9.4" style="1481" customWidth="1"/>
    <col min="1816" max="1816" width="9" style="1481"/>
    <col min="1817" max="1817" width="9.4" style="1481" customWidth="1"/>
    <col min="1818" max="1836" width="9" style="1481"/>
    <col min="1837" max="1838" width="9.4" style="1481" customWidth="1"/>
    <col min="1839" max="2051" width="9" style="1481"/>
    <col min="2052" max="2052" width="13.5" style="1481" customWidth="1"/>
    <col min="2053" max="2053" width="9.1" style="1481" customWidth="1"/>
    <col min="2054" max="2054" width="11.1" style="1481" customWidth="1"/>
    <col min="2055" max="2057" width="9" style="1481"/>
    <col min="2058" max="2058" width="9.4" style="1481" customWidth="1"/>
    <col min="2059" max="2059" width="9" style="1481"/>
    <col min="2060" max="2060" width="9.4" style="1481" customWidth="1"/>
    <col min="2061" max="2063" width="9" style="1481"/>
    <col min="2064" max="2064" width="9.4" style="1481" customWidth="1"/>
    <col min="2065" max="2065" width="9" style="1481"/>
    <col min="2066" max="2066" width="9.4" style="1481" customWidth="1"/>
    <col min="2067" max="2070" width="9" style="1481"/>
    <col min="2071" max="2071" width="9.4" style="1481" customWidth="1"/>
    <col min="2072" max="2072" width="9" style="1481"/>
    <col min="2073" max="2073" width="9.4" style="1481" customWidth="1"/>
    <col min="2074" max="2092" width="9" style="1481"/>
    <col min="2093" max="2094" width="9.4" style="1481" customWidth="1"/>
    <col min="2095" max="2307" width="9" style="1481"/>
    <col min="2308" max="2308" width="13.5" style="1481" customWidth="1"/>
    <col min="2309" max="2309" width="9.1" style="1481" customWidth="1"/>
    <col min="2310" max="2310" width="11.1" style="1481" customWidth="1"/>
    <col min="2311" max="2313" width="9" style="1481"/>
    <col min="2314" max="2314" width="9.4" style="1481" customWidth="1"/>
    <col min="2315" max="2315" width="9" style="1481"/>
    <col min="2316" max="2316" width="9.4" style="1481" customWidth="1"/>
    <col min="2317" max="2319" width="9" style="1481"/>
    <col min="2320" max="2320" width="9.4" style="1481" customWidth="1"/>
    <col min="2321" max="2321" width="9" style="1481"/>
    <col min="2322" max="2322" width="9.4" style="1481" customWidth="1"/>
    <col min="2323" max="2326" width="9" style="1481"/>
    <col min="2327" max="2327" width="9.4" style="1481" customWidth="1"/>
    <col min="2328" max="2328" width="9" style="1481"/>
    <col min="2329" max="2329" width="9.4" style="1481" customWidth="1"/>
    <col min="2330" max="2348" width="9" style="1481"/>
    <col min="2349" max="2350" width="9.4" style="1481" customWidth="1"/>
    <col min="2351" max="2563" width="9" style="1481"/>
    <col min="2564" max="2564" width="13.5" style="1481" customWidth="1"/>
    <col min="2565" max="2565" width="9.1" style="1481" customWidth="1"/>
    <col min="2566" max="2566" width="11.1" style="1481" customWidth="1"/>
    <col min="2567" max="2569" width="9" style="1481"/>
    <col min="2570" max="2570" width="9.4" style="1481" customWidth="1"/>
    <col min="2571" max="2571" width="9" style="1481"/>
    <col min="2572" max="2572" width="9.4" style="1481" customWidth="1"/>
    <col min="2573" max="2575" width="9" style="1481"/>
    <col min="2576" max="2576" width="9.4" style="1481" customWidth="1"/>
    <col min="2577" max="2577" width="9" style="1481"/>
    <col min="2578" max="2578" width="9.4" style="1481" customWidth="1"/>
    <col min="2579" max="2582" width="9" style="1481"/>
    <col min="2583" max="2583" width="9.4" style="1481" customWidth="1"/>
    <col min="2584" max="2584" width="9" style="1481"/>
    <col min="2585" max="2585" width="9.4" style="1481" customWidth="1"/>
    <col min="2586" max="2604" width="9" style="1481"/>
    <col min="2605" max="2606" width="9.4" style="1481" customWidth="1"/>
    <col min="2607" max="2819" width="9" style="1481"/>
    <col min="2820" max="2820" width="13.5" style="1481" customWidth="1"/>
    <col min="2821" max="2821" width="9.1" style="1481" customWidth="1"/>
    <col min="2822" max="2822" width="11.1" style="1481" customWidth="1"/>
    <col min="2823" max="2825" width="9" style="1481"/>
    <col min="2826" max="2826" width="9.4" style="1481" customWidth="1"/>
    <col min="2827" max="2827" width="9" style="1481"/>
    <col min="2828" max="2828" width="9.4" style="1481" customWidth="1"/>
    <col min="2829" max="2831" width="9" style="1481"/>
    <col min="2832" max="2832" width="9.4" style="1481" customWidth="1"/>
    <col min="2833" max="2833" width="9" style="1481"/>
    <col min="2834" max="2834" width="9.4" style="1481" customWidth="1"/>
    <col min="2835" max="2838" width="9" style="1481"/>
    <col min="2839" max="2839" width="9.4" style="1481" customWidth="1"/>
    <col min="2840" max="2840" width="9" style="1481"/>
    <col min="2841" max="2841" width="9.4" style="1481" customWidth="1"/>
    <col min="2842" max="2860" width="9" style="1481"/>
    <col min="2861" max="2862" width="9.4" style="1481" customWidth="1"/>
    <col min="2863" max="3075" width="9" style="1481"/>
    <col min="3076" max="3076" width="13.5" style="1481" customWidth="1"/>
    <col min="3077" max="3077" width="9.1" style="1481" customWidth="1"/>
    <col min="3078" max="3078" width="11.1" style="1481" customWidth="1"/>
    <col min="3079" max="3081" width="9" style="1481"/>
    <col min="3082" max="3082" width="9.4" style="1481" customWidth="1"/>
    <col min="3083" max="3083" width="9" style="1481"/>
    <col min="3084" max="3084" width="9.4" style="1481" customWidth="1"/>
    <col min="3085" max="3087" width="9" style="1481"/>
    <col min="3088" max="3088" width="9.4" style="1481" customWidth="1"/>
    <col min="3089" max="3089" width="9" style="1481"/>
    <col min="3090" max="3090" width="9.4" style="1481" customWidth="1"/>
    <col min="3091" max="3094" width="9" style="1481"/>
    <col min="3095" max="3095" width="9.4" style="1481" customWidth="1"/>
    <col min="3096" max="3096" width="9" style="1481"/>
    <col min="3097" max="3097" width="9.4" style="1481" customWidth="1"/>
    <col min="3098" max="3116" width="9" style="1481"/>
    <col min="3117" max="3118" width="9.4" style="1481" customWidth="1"/>
    <col min="3119" max="3331" width="9" style="1481"/>
    <col min="3332" max="3332" width="13.5" style="1481" customWidth="1"/>
    <col min="3333" max="3333" width="9.1" style="1481" customWidth="1"/>
    <col min="3334" max="3334" width="11.1" style="1481" customWidth="1"/>
    <col min="3335" max="3337" width="9" style="1481"/>
    <col min="3338" max="3338" width="9.4" style="1481" customWidth="1"/>
    <col min="3339" max="3339" width="9" style="1481"/>
    <col min="3340" max="3340" width="9.4" style="1481" customWidth="1"/>
    <col min="3341" max="3343" width="9" style="1481"/>
    <col min="3344" max="3344" width="9.4" style="1481" customWidth="1"/>
    <col min="3345" max="3345" width="9" style="1481"/>
    <col min="3346" max="3346" width="9.4" style="1481" customWidth="1"/>
    <col min="3347" max="3350" width="9" style="1481"/>
    <col min="3351" max="3351" width="9.4" style="1481" customWidth="1"/>
    <col min="3352" max="3352" width="9" style="1481"/>
    <col min="3353" max="3353" width="9.4" style="1481" customWidth="1"/>
    <col min="3354" max="3372" width="9" style="1481"/>
    <col min="3373" max="3374" width="9.4" style="1481" customWidth="1"/>
    <col min="3375" max="3587" width="9" style="1481"/>
    <col min="3588" max="3588" width="13.5" style="1481" customWidth="1"/>
    <col min="3589" max="3589" width="9.1" style="1481" customWidth="1"/>
    <col min="3590" max="3590" width="11.1" style="1481" customWidth="1"/>
    <col min="3591" max="3593" width="9" style="1481"/>
    <col min="3594" max="3594" width="9.4" style="1481" customWidth="1"/>
    <col min="3595" max="3595" width="9" style="1481"/>
    <col min="3596" max="3596" width="9.4" style="1481" customWidth="1"/>
    <col min="3597" max="3599" width="9" style="1481"/>
    <col min="3600" max="3600" width="9.4" style="1481" customWidth="1"/>
    <col min="3601" max="3601" width="9" style="1481"/>
    <col min="3602" max="3602" width="9.4" style="1481" customWidth="1"/>
    <col min="3603" max="3606" width="9" style="1481"/>
    <col min="3607" max="3607" width="9.4" style="1481" customWidth="1"/>
    <col min="3608" max="3608" width="9" style="1481"/>
    <col min="3609" max="3609" width="9.4" style="1481" customWidth="1"/>
    <col min="3610" max="3628" width="9" style="1481"/>
    <col min="3629" max="3630" width="9.4" style="1481" customWidth="1"/>
    <col min="3631" max="3843" width="9" style="1481"/>
    <col min="3844" max="3844" width="13.5" style="1481" customWidth="1"/>
    <col min="3845" max="3845" width="9.1" style="1481" customWidth="1"/>
    <col min="3846" max="3846" width="11.1" style="1481" customWidth="1"/>
    <col min="3847" max="3849" width="9" style="1481"/>
    <col min="3850" max="3850" width="9.4" style="1481" customWidth="1"/>
    <col min="3851" max="3851" width="9" style="1481"/>
    <col min="3852" max="3852" width="9.4" style="1481" customWidth="1"/>
    <col min="3853" max="3855" width="9" style="1481"/>
    <col min="3856" max="3856" width="9.4" style="1481" customWidth="1"/>
    <col min="3857" max="3857" width="9" style="1481"/>
    <col min="3858" max="3858" width="9.4" style="1481" customWidth="1"/>
    <col min="3859" max="3862" width="9" style="1481"/>
    <col min="3863" max="3863" width="9.4" style="1481" customWidth="1"/>
    <col min="3864" max="3864" width="9" style="1481"/>
    <col min="3865" max="3865" width="9.4" style="1481" customWidth="1"/>
    <col min="3866" max="3884" width="9" style="1481"/>
    <col min="3885" max="3886" width="9.4" style="1481" customWidth="1"/>
    <col min="3887" max="4099" width="9" style="1481"/>
    <col min="4100" max="4100" width="13.5" style="1481" customWidth="1"/>
    <col min="4101" max="4101" width="9.1" style="1481" customWidth="1"/>
    <col min="4102" max="4102" width="11.1" style="1481" customWidth="1"/>
    <col min="4103" max="4105" width="9" style="1481"/>
    <col min="4106" max="4106" width="9.4" style="1481" customWidth="1"/>
    <col min="4107" max="4107" width="9" style="1481"/>
    <col min="4108" max="4108" width="9.4" style="1481" customWidth="1"/>
    <col min="4109" max="4111" width="9" style="1481"/>
    <col min="4112" max="4112" width="9.4" style="1481" customWidth="1"/>
    <col min="4113" max="4113" width="9" style="1481"/>
    <col min="4114" max="4114" width="9.4" style="1481" customWidth="1"/>
    <col min="4115" max="4118" width="9" style="1481"/>
    <col min="4119" max="4119" width="9.4" style="1481" customWidth="1"/>
    <col min="4120" max="4120" width="9" style="1481"/>
    <col min="4121" max="4121" width="9.4" style="1481" customWidth="1"/>
    <col min="4122" max="4140" width="9" style="1481"/>
    <col min="4141" max="4142" width="9.4" style="1481" customWidth="1"/>
    <col min="4143" max="4355" width="9" style="1481"/>
    <col min="4356" max="4356" width="13.5" style="1481" customWidth="1"/>
    <col min="4357" max="4357" width="9.1" style="1481" customWidth="1"/>
    <col min="4358" max="4358" width="11.1" style="1481" customWidth="1"/>
    <col min="4359" max="4361" width="9" style="1481"/>
    <col min="4362" max="4362" width="9.4" style="1481" customWidth="1"/>
    <col min="4363" max="4363" width="9" style="1481"/>
    <col min="4364" max="4364" width="9.4" style="1481" customWidth="1"/>
    <col min="4365" max="4367" width="9" style="1481"/>
    <col min="4368" max="4368" width="9.4" style="1481" customWidth="1"/>
    <col min="4369" max="4369" width="9" style="1481"/>
    <col min="4370" max="4370" width="9.4" style="1481" customWidth="1"/>
    <col min="4371" max="4374" width="9" style="1481"/>
    <col min="4375" max="4375" width="9.4" style="1481" customWidth="1"/>
    <col min="4376" max="4376" width="9" style="1481"/>
    <col min="4377" max="4377" width="9.4" style="1481" customWidth="1"/>
    <col min="4378" max="4396" width="9" style="1481"/>
    <col min="4397" max="4398" width="9.4" style="1481" customWidth="1"/>
    <col min="4399" max="4611" width="9" style="1481"/>
    <col min="4612" max="4612" width="13.5" style="1481" customWidth="1"/>
    <col min="4613" max="4613" width="9.1" style="1481" customWidth="1"/>
    <col min="4614" max="4614" width="11.1" style="1481" customWidth="1"/>
    <col min="4615" max="4617" width="9" style="1481"/>
    <col min="4618" max="4618" width="9.4" style="1481" customWidth="1"/>
    <col min="4619" max="4619" width="9" style="1481"/>
    <col min="4620" max="4620" width="9.4" style="1481" customWidth="1"/>
    <col min="4621" max="4623" width="9" style="1481"/>
    <col min="4624" max="4624" width="9.4" style="1481" customWidth="1"/>
    <col min="4625" max="4625" width="9" style="1481"/>
    <col min="4626" max="4626" width="9.4" style="1481" customWidth="1"/>
    <col min="4627" max="4630" width="9" style="1481"/>
    <col min="4631" max="4631" width="9.4" style="1481" customWidth="1"/>
    <col min="4632" max="4632" width="9" style="1481"/>
    <col min="4633" max="4633" width="9.4" style="1481" customWidth="1"/>
    <col min="4634" max="4652" width="9" style="1481"/>
    <col min="4653" max="4654" width="9.4" style="1481" customWidth="1"/>
    <col min="4655" max="4867" width="9" style="1481"/>
    <col min="4868" max="4868" width="13.5" style="1481" customWidth="1"/>
    <col min="4869" max="4869" width="9.1" style="1481" customWidth="1"/>
    <col min="4870" max="4870" width="11.1" style="1481" customWidth="1"/>
    <col min="4871" max="4873" width="9" style="1481"/>
    <col min="4874" max="4874" width="9.4" style="1481" customWidth="1"/>
    <col min="4875" max="4875" width="9" style="1481"/>
    <col min="4876" max="4876" width="9.4" style="1481" customWidth="1"/>
    <col min="4877" max="4879" width="9" style="1481"/>
    <col min="4880" max="4880" width="9.4" style="1481" customWidth="1"/>
    <col min="4881" max="4881" width="9" style="1481"/>
    <col min="4882" max="4882" width="9.4" style="1481" customWidth="1"/>
    <col min="4883" max="4886" width="9" style="1481"/>
    <col min="4887" max="4887" width="9.4" style="1481" customWidth="1"/>
    <col min="4888" max="4888" width="9" style="1481"/>
    <col min="4889" max="4889" width="9.4" style="1481" customWidth="1"/>
    <col min="4890" max="4908" width="9" style="1481"/>
    <col min="4909" max="4910" width="9.4" style="1481" customWidth="1"/>
    <col min="4911" max="5123" width="9" style="1481"/>
    <col min="5124" max="5124" width="13.5" style="1481" customWidth="1"/>
    <col min="5125" max="5125" width="9.1" style="1481" customWidth="1"/>
    <col min="5126" max="5126" width="11.1" style="1481" customWidth="1"/>
    <col min="5127" max="5129" width="9" style="1481"/>
    <col min="5130" max="5130" width="9.4" style="1481" customWidth="1"/>
    <col min="5131" max="5131" width="9" style="1481"/>
    <col min="5132" max="5132" width="9.4" style="1481" customWidth="1"/>
    <col min="5133" max="5135" width="9" style="1481"/>
    <col min="5136" max="5136" width="9.4" style="1481" customWidth="1"/>
    <col min="5137" max="5137" width="9" style="1481"/>
    <col min="5138" max="5138" width="9.4" style="1481" customWidth="1"/>
    <col min="5139" max="5142" width="9" style="1481"/>
    <col min="5143" max="5143" width="9.4" style="1481" customWidth="1"/>
    <col min="5144" max="5144" width="9" style="1481"/>
    <col min="5145" max="5145" width="9.4" style="1481" customWidth="1"/>
    <col min="5146" max="5164" width="9" style="1481"/>
    <col min="5165" max="5166" width="9.4" style="1481" customWidth="1"/>
    <col min="5167" max="5379" width="9" style="1481"/>
    <col min="5380" max="5380" width="13.5" style="1481" customWidth="1"/>
    <col min="5381" max="5381" width="9.1" style="1481" customWidth="1"/>
    <col min="5382" max="5382" width="11.1" style="1481" customWidth="1"/>
    <col min="5383" max="5385" width="9" style="1481"/>
    <col min="5386" max="5386" width="9.4" style="1481" customWidth="1"/>
    <col min="5387" max="5387" width="9" style="1481"/>
    <col min="5388" max="5388" width="9.4" style="1481" customWidth="1"/>
    <col min="5389" max="5391" width="9" style="1481"/>
    <col min="5392" max="5392" width="9.4" style="1481" customWidth="1"/>
    <col min="5393" max="5393" width="9" style="1481"/>
    <col min="5394" max="5394" width="9.4" style="1481" customWidth="1"/>
    <col min="5395" max="5398" width="9" style="1481"/>
    <col min="5399" max="5399" width="9.4" style="1481" customWidth="1"/>
    <col min="5400" max="5400" width="9" style="1481"/>
    <col min="5401" max="5401" width="9.4" style="1481" customWidth="1"/>
    <col min="5402" max="5420" width="9" style="1481"/>
    <col min="5421" max="5422" width="9.4" style="1481" customWidth="1"/>
    <col min="5423" max="5635" width="9" style="1481"/>
    <col min="5636" max="5636" width="13.5" style="1481" customWidth="1"/>
    <col min="5637" max="5637" width="9.1" style="1481" customWidth="1"/>
    <col min="5638" max="5638" width="11.1" style="1481" customWidth="1"/>
    <col min="5639" max="5641" width="9" style="1481"/>
    <col min="5642" max="5642" width="9.4" style="1481" customWidth="1"/>
    <col min="5643" max="5643" width="9" style="1481"/>
    <col min="5644" max="5644" width="9.4" style="1481" customWidth="1"/>
    <col min="5645" max="5647" width="9" style="1481"/>
    <col min="5648" max="5648" width="9.4" style="1481" customWidth="1"/>
    <col min="5649" max="5649" width="9" style="1481"/>
    <col min="5650" max="5650" width="9.4" style="1481" customWidth="1"/>
    <col min="5651" max="5654" width="9" style="1481"/>
    <col min="5655" max="5655" width="9.4" style="1481" customWidth="1"/>
    <col min="5656" max="5656" width="9" style="1481"/>
    <col min="5657" max="5657" width="9.4" style="1481" customWidth="1"/>
    <col min="5658" max="5676" width="9" style="1481"/>
    <col min="5677" max="5678" width="9.4" style="1481" customWidth="1"/>
    <col min="5679" max="5891" width="9" style="1481"/>
    <col min="5892" max="5892" width="13.5" style="1481" customWidth="1"/>
    <col min="5893" max="5893" width="9.1" style="1481" customWidth="1"/>
    <col min="5894" max="5894" width="11.1" style="1481" customWidth="1"/>
    <col min="5895" max="5897" width="9" style="1481"/>
    <col min="5898" max="5898" width="9.4" style="1481" customWidth="1"/>
    <col min="5899" max="5899" width="9" style="1481"/>
    <col min="5900" max="5900" width="9.4" style="1481" customWidth="1"/>
    <col min="5901" max="5903" width="9" style="1481"/>
    <col min="5904" max="5904" width="9.4" style="1481" customWidth="1"/>
    <col min="5905" max="5905" width="9" style="1481"/>
    <col min="5906" max="5906" width="9.4" style="1481" customWidth="1"/>
    <col min="5907" max="5910" width="9" style="1481"/>
    <col min="5911" max="5911" width="9.4" style="1481" customWidth="1"/>
    <col min="5912" max="5912" width="9" style="1481"/>
    <col min="5913" max="5913" width="9.4" style="1481" customWidth="1"/>
    <col min="5914" max="5932" width="9" style="1481"/>
    <col min="5933" max="5934" width="9.4" style="1481" customWidth="1"/>
    <col min="5935" max="6147" width="9" style="1481"/>
    <col min="6148" max="6148" width="13.5" style="1481" customWidth="1"/>
    <col min="6149" max="6149" width="9.1" style="1481" customWidth="1"/>
    <col min="6150" max="6150" width="11.1" style="1481" customWidth="1"/>
    <col min="6151" max="6153" width="9" style="1481"/>
    <col min="6154" max="6154" width="9.4" style="1481" customWidth="1"/>
    <col min="6155" max="6155" width="9" style="1481"/>
    <col min="6156" max="6156" width="9.4" style="1481" customWidth="1"/>
    <col min="6157" max="6159" width="9" style="1481"/>
    <col min="6160" max="6160" width="9.4" style="1481" customWidth="1"/>
    <col min="6161" max="6161" width="9" style="1481"/>
    <col min="6162" max="6162" width="9.4" style="1481" customWidth="1"/>
    <col min="6163" max="6166" width="9" style="1481"/>
    <col min="6167" max="6167" width="9.4" style="1481" customWidth="1"/>
    <col min="6168" max="6168" width="9" style="1481"/>
    <col min="6169" max="6169" width="9.4" style="1481" customWidth="1"/>
    <col min="6170" max="6188" width="9" style="1481"/>
    <col min="6189" max="6190" width="9.4" style="1481" customWidth="1"/>
    <col min="6191" max="6403" width="9" style="1481"/>
    <col min="6404" max="6404" width="13.5" style="1481" customWidth="1"/>
    <col min="6405" max="6405" width="9.1" style="1481" customWidth="1"/>
    <col min="6406" max="6406" width="11.1" style="1481" customWidth="1"/>
    <col min="6407" max="6409" width="9" style="1481"/>
    <col min="6410" max="6410" width="9.4" style="1481" customWidth="1"/>
    <col min="6411" max="6411" width="9" style="1481"/>
    <col min="6412" max="6412" width="9.4" style="1481" customWidth="1"/>
    <col min="6413" max="6415" width="9" style="1481"/>
    <col min="6416" max="6416" width="9.4" style="1481" customWidth="1"/>
    <col min="6417" max="6417" width="9" style="1481"/>
    <col min="6418" max="6418" width="9.4" style="1481" customWidth="1"/>
    <col min="6419" max="6422" width="9" style="1481"/>
    <col min="6423" max="6423" width="9.4" style="1481" customWidth="1"/>
    <col min="6424" max="6424" width="9" style="1481"/>
    <col min="6425" max="6425" width="9.4" style="1481" customWidth="1"/>
    <col min="6426" max="6444" width="9" style="1481"/>
    <col min="6445" max="6446" width="9.4" style="1481" customWidth="1"/>
    <col min="6447" max="6659" width="9" style="1481"/>
    <col min="6660" max="6660" width="13.5" style="1481" customWidth="1"/>
    <col min="6661" max="6661" width="9.1" style="1481" customWidth="1"/>
    <col min="6662" max="6662" width="11.1" style="1481" customWidth="1"/>
    <col min="6663" max="6665" width="9" style="1481"/>
    <col min="6666" max="6666" width="9.4" style="1481" customWidth="1"/>
    <col min="6667" max="6667" width="9" style="1481"/>
    <col min="6668" max="6668" width="9.4" style="1481" customWidth="1"/>
    <col min="6669" max="6671" width="9" style="1481"/>
    <col min="6672" max="6672" width="9.4" style="1481" customWidth="1"/>
    <col min="6673" max="6673" width="9" style="1481"/>
    <col min="6674" max="6674" width="9.4" style="1481" customWidth="1"/>
    <col min="6675" max="6678" width="9" style="1481"/>
    <col min="6679" max="6679" width="9.4" style="1481" customWidth="1"/>
    <col min="6680" max="6680" width="9" style="1481"/>
    <col min="6681" max="6681" width="9.4" style="1481" customWidth="1"/>
    <col min="6682" max="6700" width="9" style="1481"/>
    <col min="6701" max="6702" width="9.4" style="1481" customWidth="1"/>
    <col min="6703" max="6915" width="9" style="1481"/>
    <col min="6916" max="6916" width="13.5" style="1481" customWidth="1"/>
    <col min="6917" max="6917" width="9.1" style="1481" customWidth="1"/>
    <col min="6918" max="6918" width="11.1" style="1481" customWidth="1"/>
    <col min="6919" max="6921" width="9" style="1481"/>
    <col min="6922" max="6922" width="9.4" style="1481" customWidth="1"/>
    <col min="6923" max="6923" width="9" style="1481"/>
    <col min="6924" max="6924" width="9.4" style="1481" customWidth="1"/>
    <col min="6925" max="6927" width="9" style="1481"/>
    <col min="6928" max="6928" width="9.4" style="1481" customWidth="1"/>
    <col min="6929" max="6929" width="9" style="1481"/>
    <col min="6930" max="6930" width="9.4" style="1481" customWidth="1"/>
    <col min="6931" max="6934" width="9" style="1481"/>
    <col min="6935" max="6935" width="9.4" style="1481" customWidth="1"/>
    <col min="6936" max="6936" width="9" style="1481"/>
    <col min="6937" max="6937" width="9.4" style="1481" customWidth="1"/>
    <col min="6938" max="6956" width="9" style="1481"/>
    <col min="6957" max="6958" width="9.4" style="1481" customWidth="1"/>
    <col min="6959" max="7171" width="9" style="1481"/>
    <col min="7172" max="7172" width="13.5" style="1481" customWidth="1"/>
    <col min="7173" max="7173" width="9.1" style="1481" customWidth="1"/>
    <col min="7174" max="7174" width="11.1" style="1481" customWidth="1"/>
    <col min="7175" max="7177" width="9" style="1481"/>
    <col min="7178" max="7178" width="9.4" style="1481" customWidth="1"/>
    <col min="7179" max="7179" width="9" style="1481"/>
    <col min="7180" max="7180" width="9.4" style="1481" customWidth="1"/>
    <col min="7181" max="7183" width="9" style="1481"/>
    <col min="7184" max="7184" width="9.4" style="1481" customWidth="1"/>
    <col min="7185" max="7185" width="9" style="1481"/>
    <col min="7186" max="7186" width="9.4" style="1481" customWidth="1"/>
    <col min="7187" max="7190" width="9" style="1481"/>
    <col min="7191" max="7191" width="9.4" style="1481" customWidth="1"/>
    <col min="7192" max="7192" width="9" style="1481"/>
    <col min="7193" max="7193" width="9.4" style="1481" customWidth="1"/>
    <col min="7194" max="7212" width="9" style="1481"/>
    <col min="7213" max="7214" width="9.4" style="1481" customWidth="1"/>
    <col min="7215" max="7427" width="9" style="1481"/>
    <col min="7428" max="7428" width="13.5" style="1481" customWidth="1"/>
    <col min="7429" max="7429" width="9.1" style="1481" customWidth="1"/>
    <col min="7430" max="7430" width="11.1" style="1481" customWidth="1"/>
    <col min="7431" max="7433" width="9" style="1481"/>
    <col min="7434" max="7434" width="9.4" style="1481" customWidth="1"/>
    <col min="7435" max="7435" width="9" style="1481"/>
    <col min="7436" max="7436" width="9.4" style="1481" customWidth="1"/>
    <col min="7437" max="7439" width="9" style="1481"/>
    <col min="7440" max="7440" width="9.4" style="1481" customWidth="1"/>
    <col min="7441" max="7441" width="9" style="1481"/>
    <col min="7442" max="7442" width="9.4" style="1481" customWidth="1"/>
    <col min="7443" max="7446" width="9" style="1481"/>
    <col min="7447" max="7447" width="9.4" style="1481" customWidth="1"/>
    <col min="7448" max="7448" width="9" style="1481"/>
    <col min="7449" max="7449" width="9.4" style="1481" customWidth="1"/>
    <col min="7450" max="7468" width="9" style="1481"/>
    <col min="7469" max="7470" width="9.4" style="1481" customWidth="1"/>
    <col min="7471" max="7683" width="9" style="1481"/>
    <col min="7684" max="7684" width="13.5" style="1481" customWidth="1"/>
    <col min="7685" max="7685" width="9.1" style="1481" customWidth="1"/>
    <col min="7686" max="7686" width="11.1" style="1481" customWidth="1"/>
    <col min="7687" max="7689" width="9" style="1481"/>
    <col min="7690" max="7690" width="9.4" style="1481" customWidth="1"/>
    <col min="7691" max="7691" width="9" style="1481"/>
    <col min="7692" max="7692" width="9.4" style="1481" customWidth="1"/>
    <col min="7693" max="7695" width="9" style="1481"/>
    <col min="7696" max="7696" width="9.4" style="1481" customWidth="1"/>
    <col min="7697" max="7697" width="9" style="1481"/>
    <col min="7698" max="7698" width="9.4" style="1481" customWidth="1"/>
    <col min="7699" max="7702" width="9" style="1481"/>
    <col min="7703" max="7703" width="9.4" style="1481" customWidth="1"/>
    <col min="7704" max="7704" width="9" style="1481"/>
    <col min="7705" max="7705" width="9.4" style="1481" customWidth="1"/>
    <col min="7706" max="7724" width="9" style="1481"/>
    <col min="7725" max="7726" width="9.4" style="1481" customWidth="1"/>
    <col min="7727" max="7939" width="9" style="1481"/>
    <col min="7940" max="7940" width="13.5" style="1481" customWidth="1"/>
    <col min="7941" max="7941" width="9.1" style="1481" customWidth="1"/>
    <col min="7942" max="7942" width="11.1" style="1481" customWidth="1"/>
    <col min="7943" max="7945" width="9" style="1481"/>
    <col min="7946" max="7946" width="9.4" style="1481" customWidth="1"/>
    <col min="7947" max="7947" width="9" style="1481"/>
    <col min="7948" max="7948" width="9.4" style="1481" customWidth="1"/>
    <col min="7949" max="7951" width="9" style="1481"/>
    <col min="7952" max="7952" width="9.4" style="1481" customWidth="1"/>
    <col min="7953" max="7953" width="9" style="1481"/>
    <col min="7954" max="7954" width="9.4" style="1481" customWidth="1"/>
    <col min="7955" max="7958" width="9" style="1481"/>
    <col min="7959" max="7959" width="9.4" style="1481" customWidth="1"/>
    <col min="7960" max="7960" width="9" style="1481"/>
    <col min="7961" max="7961" width="9.4" style="1481" customWidth="1"/>
    <col min="7962" max="7980" width="9" style="1481"/>
    <col min="7981" max="7982" width="9.4" style="1481" customWidth="1"/>
    <col min="7983" max="8195" width="9" style="1481"/>
    <col min="8196" max="8196" width="13.5" style="1481" customWidth="1"/>
    <col min="8197" max="8197" width="9.1" style="1481" customWidth="1"/>
    <col min="8198" max="8198" width="11.1" style="1481" customWidth="1"/>
    <col min="8199" max="8201" width="9" style="1481"/>
    <col min="8202" max="8202" width="9.4" style="1481" customWidth="1"/>
    <col min="8203" max="8203" width="9" style="1481"/>
    <col min="8204" max="8204" width="9.4" style="1481" customWidth="1"/>
    <col min="8205" max="8207" width="9" style="1481"/>
    <col min="8208" max="8208" width="9.4" style="1481" customWidth="1"/>
    <col min="8209" max="8209" width="9" style="1481"/>
    <col min="8210" max="8210" width="9.4" style="1481" customWidth="1"/>
    <col min="8211" max="8214" width="9" style="1481"/>
    <col min="8215" max="8215" width="9.4" style="1481" customWidth="1"/>
    <col min="8216" max="8216" width="9" style="1481"/>
    <col min="8217" max="8217" width="9.4" style="1481" customWidth="1"/>
    <col min="8218" max="8236" width="9" style="1481"/>
    <col min="8237" max="8238" width="9.4" style="1481" customWidth="1"/>
    <col min="8239" max="8451" width="9" style="1481"/>
    <col min="8452" max="8452" width="13.5" style="1481" customWidth="1"/>
    <col min="8453" max="8453" width="9.1" style="1481" customWidth="1"/>
    <col min="8454" max="8454" width="11.1" style="1481" customWidth="1"/>
    <col min="8455" max="8457" width="9" style="1481"/>
    <col min="8458" max="8458" width="9.4" style="1481" customWidth="1"/>
    <col min="8459" max="8459" width="9" style="1481"/>
    <col min="8460" max="8460" width="9.4" style="1481" customWidth="1"/>
    <col min="8461" max="8463" width="9" style="1481"/>
    <col min="8464" max="8464" width="9.4" style="1481" customWidth="1"/>
    <col min="8465" max="8465" width="9" style="1481"/>
    <col min="8466" max="8466" width="9.4" style="1481" customWidth="1"/>
    <col min="8467" max="8470" width="9" style="1481"/>
    <col min="8471" max="8471" width="9.4" style="1481" customWidth="1"/>
    <col min="8472" max="8472" width="9" style="1481"/>
    <col min="8473" max="8473" width="9.4" style="1481" customWidth="1"/>
    <col min="8474" max="8492" width="9" style="1481"/>
    <col min="8493" max="8494" width="9.4" style="1481" customWidth="1"/>
    <col min="8495" max="8707" width="9" style="1481"/>
    <col min="8708" max="8708" width="13.5" style="1481" customWidth="1"/>
    <col min="8709" max="8709" width="9.1" style="1481" customWidth="1"/>
    <col min="8710" max="8710" width="11.1" style="1481" customWidth="1"/>
    <col min="8711" max="8713" width="9" style="1481"/>
    <col min="8714" max="8714" width="9.4" style="1481" customWidth="1"/>
    <col min="8715" max="8715" width="9" style="1481"/>
    <col min="8716" max="8716" width="9.4" style="1481" customWidth="1"/>
    <col min="8717" max="8719" width="9" style="1481"/>
    <col min="8720" max="8720" width="9.4" style="1481" customWidth="1"/>
    <col min="8721" max="8721" width="9" style="1481"/>
    <col min="8722" max="8722" width="9.4" style="1481" customWidth="1"/>
    <col min="8723" max="8726" width="9" style="1481"/>
    <col min="8727" max="8727" width="9.4" style="1481" customWidth="1"/>
    <col min="8728" max="8728" width="9" style="1481"/>
    <col min="8729" max="8729" width="9.4" style="1481" customWidth="1"/>
    <col min="8730" max="8748" width="9" style="1481"/>
    <col min="8749" max="8750" width="9.4" style="1481" customWidth="1"/>
    <col min="8751" max="8963" width="9" style="1481"/>
    <col min="8964" max="8964" width="13.5" style="1481" customWidth="1"/>
    <col min="8965" max="8965" width="9.1" style="1481" customWidth="1"/>
    <col min="8966" max="8966" width="11.1" style="1481" customWidth="1"/>
    <col min="8967" max="8969" width="9" style="1481"/>
    <col min="8970" max="8970" width="9.4" style="1481" customWidth="1"/>
    <col min="8971" max="8971" width="9" style="1481"/>
    <col min="8972" max="8972" width="9.4" style="1481" customWidth="1"/>
    <col min="8973" max="8975" width="9" style="1481"/>
    <col min="8976" max="8976" width="9.4" style="1481" customWidth="1"/>
    <col min="8977" max="8977" width="9" style="1481"/>
    <col min="8978" max="8978" width="9.4" style="1481" customWidth="1"/>
    <col min="8979" max="8982" width="9" style="1481"/>
    <col min="8983" max="8983" width="9.4" style="1481" customWidth="1"/>
    <col min="8984" max="8984" width="9" style="1481"/>
    <col min="8985" max="8985" width="9.4" style="1481" customWidth="1"/>
    <col min="8986" max="9004" width="9" style="1481"/>
    <col min="9005" max="9006" width="9.4" style="1481" customWidth="1"/>
    <col min="9007" max="9219" width="9" style="1481"/>
    <col min="9220" max="9220" width="13.5" style="1481" customWidth="1"/>
    <col min="9221" max="9221" width="9.1" style="1481" customWidth="1"/>
    <col min="9222" max="9222" width="11.1" style="1481" customWidth="1"/>
    <col min="9223" max="9225" width="9" style="1481"/>
    <col min="9226" max="9226" width="9.4" style="1481" customWidth="1"/>
    <col min="9227" max="9227" width="9" style="1481"/>
    <col min="9228" max="9228" width="9.4" style="1481" customWidth="1"/>
    <col min="9229" max="9231" width="9" style="1481"/>
    <col min="9232" max="9232" width="9.4" style="1481" customWidth="1"/>
    <col min="9233" max="9233" width="9" style="1481"/>
    <col min="9234" max="9234" width="9.4" style="1481" customWidth="1"/>
    <col min="9235" max="9238" width="9" style="1481"/>
    <col min="9239" max="9239" width="9.4" style="1481" customWidth="1"/>
    <col min="9240" max="9240" width="9" style="1481"/>
    <col min="9241" max="9241" width="9.4" style="1481" customWidth="1"/>
    <col min="9242" max="9260" width="9" style="1481"/>
    <col min="9261" max="9262" width="9.4" style="1481" customWidth="1"/>
    <col min="9263" max="9475" width="9" style="1481"/>
    <col min="9476" max="9476" width="13.5" style="1481" customWidth="1"/>
    <col min="9477" max="9477" width="9.1" style="1481" customWidth="1"/>
    <col min="9478" max="9478" width="11.1" style="1481" customWidth="1"/>
    <col min="9479" max="9481" width="9" style="1481"/>
    <col min="9482" max="9482" width="9.4" style="1481" customWidth="1"/>
    <col min="9483" max="9483" width="9" style="1481"/>
    <col min="9484" max="9484" width="9.4" style="1481" customWidth="1"/>
    <col min="9485" max="9487" width="9" style="1481"/>
    <col min="9488" max="9488" width="9.4" style="1481" customWidth="1"/>
    <col min="9489" max="9489" width="9" style="1481"/>
    <col min="9490" max="9490" width="9.4" style="1481" customWidth="1"/>
    <col min="9491" max="9494" width="9" style="1481"/>
    <col min="9495" max="9495" width="9.4" style="1481" customWidth="1"/>
    <col min="9496" max="9496" width="9" style="1481"/>
    <col min="9497" max="9497" width="9.4" style="1481" customWidth="1"/>
    <col min="9498" max="9516" width="9" style="1481"/>
    <col min="9517" max="9518" width="9.4" style="1481" customWidth="1"/>
    <col min="9519" max="9731" width="9" style="1481"/>
    <col min="9732" max="9732" width="13.5" style="1481" customWidth="1"/>
    <col min="9733" max="9733" width="9.1" style="1481" customWidth="1"/>
    <col min="9734" max="9734" width="11.1" style="1481" customWidth="1"/>
    <col min="9735" max="9737" width="9" style="1481"/>
    <col min="9738" max="9738" width="9.4" style="1481" customWidth="1"/>
    <col min="9739" max="9739" width="9" style="1481"/>
    <col min="9740" max="9740" width="9.4" style="1481" customWidth="1"/>
    <col min="9741" max="9743" width="9" style="1481"/>
    <col min="9744" max="9744" width="9.4" style="1481" customWidth="1"/>
    <col min="9745" max="9745" width="9" style="1481"/>
    <col min="9746" max="9746" width="9.4" style="1481" customWidth="1"/>
    <col min="9747" max="9750" width="9" style="1481"/>
    <col min="9751" max="9751" width="9.4" style="1481" customWidth="1"/>
    <col min="9752" max="9752" width="9" style="1481"/>
    <col min="9753" max="9753" width="9.4" style="1481" customWidth="1"/>
    <col min="9754" max="9772" width="9" style="1481"/>
    <col min="9773" max="9774" width="9.4" style="1481" customWidth="1"/>
    <col min="9775" max="9987" width="9" style="1481"/>
    <col min="9988" max="9988" width="13.5" style="1481" customWidth="1"/>
    <col min="9989" max="9989" width="9.1" style="1481" customWidth="1"/>
    <col min="9990" max="9990" width="11.1" style="1481" customWidth="1"/>
    <col min="9991" max="9993" width="9" style="1481"/>
    <col min="9994" max="9994" width="9.4" style="1481" customWidth="1"/>
    <col min="9995" max="9995" width="9" style="1481"/>
    <col min="9996" max="9996" width="9.4" style="1481" customWidth="1"/>
    <col min="9997" max="9999" width="9" style="1481"/>
    <col min="10000" max="10000" width="9.4" style="1481" customWidth="1"/>
    <col min="10001" max="10001" width="9" style="1481"/>
    <col min="10002" max="10002" width="9.4" style="1481" customWidth="1"/>
    <col min="10003" max="10006" width="9" style="1481"/>
    <col min="10007" max="10007" width="9.4" style="1481" customWidth="1"/>
    <col min="10008" max="10008" width="9" style="1481"/>
    <col min="10009" max="10009" width="9.4" style="1481" customWidth="1"/>
    <col min="10010" max="10028" width="9" style="1481"/>
    <col min="10029" max="10030" width="9.4" style="1481" customWidth="1"/>
    <col min="10031" max="10243" width="9" style="1481"/>
    <col min="10244" max="10244" width="13.5" style="1481" customWidth="1"/>
    <col min="10245" max="10245" width="9.1" style="1481" customWidth="1"/>
    <col min="10246" max="10246" width="11.1" style="1481" customWidth="1"/>
    <col min="10247" max="10249" width="9" style="1481"/>
    <col min="10250" max="10250" width="9.4" style="1481" customWidth="1"/>
    <col min="10251" max="10251" width="9" style="1481"/>
    <col min="10252" max="10252" width="9.4" style="1481" customWidth="1"/>
    <col min="10253" max="10255" width="9" style="1481"/>
    <col min="10256" max="10256" width="9.4" style="1481" customWidth="1"/>
    <col min="10257" max="10257" width="9" style="1481"/>
    <col min="10258" max="10258" width="9.4" style="1481" customWidth="1"/>
    <col min="10259" max="10262" width="9" style="1481"/>
    <col min="10263" max="10263" width="9.4" style="1481" customWidth="1"/>
    <col min="10264" max="10264" width="9" style="1481"/>
    <col min="10265" max="10265" width="9.4" style="1481" customWidth="1"/>
    <col min="10266" max="10284" width="9" style="1481"/>
    <col min="10285" max="10286" width="9.4" style="1481" customWidth="1"/>
    <col min="10287" max="10499" width="9" style="1481"/>
    <col min="10500" max="10500" width="13.5" style="1481" customWidth="1"/>
    <col min="10501" max="10501" width="9.1" style="1481" customWidth="1"/>
    <col min="10502" max="10502" width="11.1" style="1481" customWidth="1"/>
    <col min="10503" max="10505" width="9" style="1481"/>
    <col min="10506" max="10506" width="9.4" style="1481" customWidth="1"/>
    <col min="10507" max="10507" width="9" style="1481"/>
    <col min="10508" max="10508" width="9.4" style="1481" customWidth="1"/>
    <col min="10509" max="10511" width="9" style="1481"/>
    <col min="10512" max="10512" width="9.4" style="1481" customWidth="1"/>
    <col min="10513" max="10513" width="9" style="1481"/>
    <col min="10514" max="10514" width="9.4" style="1481" customWidth="1"/>
    <col min="10515" max="10518" width="9" style="1481"/>
    <col min="10519" max="10519" width="9.4" style="1481" customWidth="1"/>
    <col min="10520" max="10520" width="9" style="1481"/>
    <col min="10521" max="10521" width="9.4" style="1481" customWidth="1"/>
    <col min="10522" max="10540" width="9" style="1481"/>
    <col min="10541" max="10542" width="9.4" style="1481" customWidth="1"/>
    <col min="10543" max="10755" width="9" style="1481"/>
    <col min="10756" max="10756" width="13.5" style="1481" customWidth="1"/>
    <col min="10757" max="10757" width="9.1" style="1481" customWidth="1"/>
    <col min="10758" max="10758" width="11.1" style="1481" customWidth="1"/>
    <col min="10759" max="10761" width="9" style="1481"/>
    <col min="10762" max="10762" width="9.4" style="1481" customWidth="1"/>
    <col min="10763" max="10763" width="9" style="1481"/>
    <col min="10764" max="10764" width="9.4" style="1481" customWidth="1"/>
    <col min="10765" max="10767" width="9" style="1481"/>
    <col min="10768" max="10768" width="9.4" style="1481" customWidth="1"/>
    <col min="10769" max="10769" width="9" style="1481"/>
    <col min="10770" max="10770" width="9.4" style="1481" customWidth="1"/>
    <col min="10771" max="10774" width="9" style="1481"/>
    <col min="10775" max="10775" width="9.4" style="1481" customWidth="1"/>
    <col min="10776" max="10776" width="9" style="1481"/>
    <col min="10777" max="10777" width="9.4" style="1481" customWidth="1"/>
    <col min="10778" max="10796" width="9" style="1481"/>
    <col min="10797" max="10798" width="9.4" style="1481" customWidth="1"/>
    <col min="10799" max="11011" width="9" style="1481"/>
    <col min="11012" max="11012" width="13.5" style="1481" customWidth="1"/>
    <col min="11013" max="11013" width="9.1" style="1481" customWidth="1"/>
    <col min="11014" max="11014" width="11.1" style="1481" customWidth="1"/>
    <col min="11015" max="11017" width="9" style="1481"/>
    <col min="11018" max="11018" width="9.4" style="1481" customWidth="1"/>
    <col min="11019" max="11019" width="9" style="1481"/>
    <col min="11020" max="11020" width="9.4" style="1481" customWidth="1"/>
    <col min="11021" max="11023" width="9" style="1481"/>
    <col min="11024" max="11024" width="9.4" style="1481" customWidth="1"/>
    <col min="11025" max="11025" width="9" style="1481"/>
    <col min="11026" max="11026" width="9.4" style="1481" customWidth="1"/>
    <col min="11027" max="11030" width="9" style="1481"/>
    <col min="11031" max="11031" width="9.4" style="1481" customWidth="1"/>
    <col min="11032" max="11032" width="9" style="1481"/>
    <col min="11033" max="11033" width="9.4" style="1481" customWidth="1"/>
    <col min="11034" max="11052" width="9" style="1481"/>
    <col min="11053" max="11054" width="9.4" style="1481" customWidth="1"/>
    <col min="11055" max="11267" width="9" style="1481"/>
    <col min="11268" max="11268" width="13.5" style="1481" customWidth="1"/>
    <col min="11269" max="11269" width="9.1" style="1481" customWidth="1"/>
    <col min="11270" max="11270" width="11.1" style="1481" customWidth="1"/>
    <col min="11271" max="11273" width="9" style="1481"/>
    <col min="11274" max="11274" width="9.4" style="1481" customWidth="1"/>
    <col min="11275" max="11275" width="9" style="1481"/>
    <col min="11276" max="11276" width="9.4" style="1481" customWidth="1"/>
    <col min="11277" max="11279" width="9" style="1481"/>
    <col min="11280" max="11280" width="9.4" style="1481" customWidth="1"/>
    <col min="11281" max="11281" width="9" style="1481"/>
    <col min="11282" max="11282" width="9.4" style="1481" customWidth="1"/>
    <col min="11283" max="11286" width="9" style="1481"/>
    <col min="11287" max="11287" width="9.4" style="1481" customWidth="1"/>
    <col min="11288" max="11288" width="9" style="1481"/>
    <col min="11289" max="11289" width="9.4" style="1481" customWidth="1"/>
    <col min="11290" max="11308" width="9" style="1481"/>
    <col min="11309" max="11310" width="9.4" style="1481" customWidth="1"/>
    <col min="11311" max="11523" width="9" style="1481"/>
    <col min="11524" max="11524" width="13.5" style="1481" customWidth="1"/>
    <col min="11525" max="11525" width="9.1" style="1481" customWidth="1"/>
    <col min="11526" max="11526" width="11.1" style="1481" customWidth="1"/>
    <col min="11527" max="11529" width="9" style="1481"/>
    <col min="11530" max="11530" width="9.4" style="1481" customWidth="1"/>
    <col min="11531" max="11531" width="9" style="1481"/>
    <col min="11532" max="11532" width="9.4" style="1481" customWidth="1"/>
    <col min="11533" max="11535" width="9" style="1481"/>
    <col min="11536" max="11536" width="9.4" style="1481" customWidth="1"/>
    <col min="11537" max="11537" width="9" style="1481"/>
    <col min="11538" max="11538" width="9.4" style="1481" customWidth="1"/>
    <col min="11539" max="11542" width="9" style="1481"/>
    <col min="11543" max="11543" width="9.4" style="1481" customWidth="1"/>
    <col min="11544" max="11544" width="9" style="1481"/>
    <col min="11545" max="11545" width="9.4" style="1481" customWidth="1"/>
    <col min="11546" max="11564" width="9" style="1481"/>
    <col min="11565" max="11566" width="9.4" style="1481" customWidth="1"/>
    <col min="11567" max="11779" width="9" style="1481"/>
    <col min="11780" max="11780" width="13.5" style="1481" customWidth="1"/>
    <col min="11781" max="11781" width="9.1" style="1481" customWidth="1"/>
    <col min="11782" max="11782" width="11.1" style="1481" customWidth="1"/>
    <col min="11783" max="11785" width="9" style="1481"/>
    <col min="11786" max="11786" width="9.4" style="1481" customWidth="1"/>
    <col min="11787" max="11787" width="9" style="1481"/>
    <col min="11788" max="11788" width="9.4" style="1481" customWidth="1"/>
    <col min="11789" max="11791" width="9" style="1481"/>
    <col min="11792" max="11792" width="9.4" style="1481" customWidth="1"/>
    <col min="11793" max="11793" width="9" style="1481"/>
    <col min="11794" max="11794" width="9.4" style="1481" customWidth="1"/>
    <col min="11795" max="11798" width="9" style="1481"/>
    <col min="11799" max="11799" width="9.4" style="1481" customWidth="1"/>
    <col min="11800" max="11800" width="9" style="1481"/>
    <col min="11801" max="11801" width="9.4" style="1481" customWidth="1"/>
    <col min="11802" max="11820" width="9" style="1481"/>
    <col min="11821" max="11822" width="9.4" style="1481" customWidth="1"/>
    <col min="11823" max="12035" width="9" style="1481"/>
    <col min="12036" max="12036" width="13.5" style="1481" customWidth="1"/>
    <col min="12037" max="12037" width="9.1" style="1481" customWidth="1"/>
    <col min="12038" max="12038" width="11.1" style="1481" customWidth="1"/>
    <col min="12039" max="12041" width="9" style="1481"/>
    <col min="12042" max="12042" width="9.4" style="1481" customWidth="1"/>
    <col min="12043" max="12043" width="9" style="1481"/>
    <col min="12044" max="12044" width="9.4" style="1481" customWidth="1"/>
    <col min="12045" max="12047" width="9" style="1481"/>
    <col min="12048" max="12048" width="9.4" style="1481" customWidth="1"/>
    <col min="12049" max="12049" width="9" style="1481"/>
    <col min="12050" max="12050" width="9.4" style="1481" customWidth="1"/>
    <col min="12051" max="12054" width="9" style="1481"/>
    <col min="12055" max="12055" width="9.4" style="1481" customWidth="1"/>
    <col min="12056" max="12056" width="9" style="1481"/>
    <col min="12057" max="12057" width="9.4" style="1481" customWidth="1"/>
    <col min="12058" max="12076" width="9" style="1481"/>
    <col min="12077" max="12078" width="9.4" style="1481" customWidth="1"/>
    <col min="12079" max="12291" width="9" style="1481"/>
    <col min="12292" max="12292" width="13.5" style="1481" customWidth="1"/>
    <col min="12293" max="12293" width="9.1" style="1481" customWidth="1"/>
    <col min="12294" max="12294" width="11.1" style="1481" customWidth="1"/>
    <col min="12295" max="12297" width="9" style="1481"/>
    <col min="12298" max="12298" width="9.4" style="1481" customWidth="1"/>
    <col min="12299" max="12299" width="9" style="1481"/>
    <col min="12300" max="12300" width="9.4" style="1481" customWidth="1"/>
    <col min="12301" max="12303" width="9" style="1481"/>
    <col min="12304" max="12304" width="9.4" style="1481" customWidth="1"/>
    <col min="12305" max="12305" width="9" style="1481"/>
    <col min="12306" max="12306" width="9.4" style="1481" customWidth="1"/>
    <col min="12307" max="12310" width="9" style="1481"/>
    <col min="12311" max="12311" width="9.4" style="1481" customWidth="1"/>
    <col min="12312" max="12312" width="9" style="1481"/>
    <col min="12313" max="12313" width="9.4" style="1481" customWidth="1"/>
    <col min="12314" max="12332" width="9" style="1481"/>
    <col min="12333" max="12334" width="9.4" style="1481" customWidth="1"/>
    <col min="12335" max="12547" width="9" style="1481"/>
    <col min="12548" max="12548" width="13.5" style="1481" customWidth="1"/>
    <col min="12549" max="12549" width="9.1" style="1481" customWidth="1"/>
    <col min="12550" max="12550" width="11.1" style="1481" customWidth="1"/>
    <col min="12551" max="12553" width="9" style="1481"/>
    <col min="12554" max="12554" width="9.4" style="1481" customWidth="1"/>
    <col min="12555" max="12555" width="9" style="1481"/>
    <col min="12556" max="12556" width="9.4" style="1481" customWidth="1"/>
    <col min="12557" max="12559" width="9" style="1481"/>
    <col min="12560" max="12560" width="9.4" style="1481" customWidth="1"/>
    <col min="12561" max="12561" width="9" style="1481"/>
    <col min="12562" max="12562" width="9.4" style="1481" customWidth="1"/>
    <col min="12563" max="12566" width="9" style="1481"/>
    <col min="12567" max="12567" width="9.4" style="1481" customWidth="1"/>
    <col min="12568" max="12568" width="9" style="1481"/>
    <col min="12569" max="12569" width="9.4" style="1481" customWidth="1"/>
    <col min="12570" max="12588" width="9" style="1481"/>
    <col min="12589" max="12590" width="9.4" style="1481" customWidth="1"/>
    <col min="12591" max="12803" width="9" style="1481"/>
    <col min="12804" max="12804" width="13.5" style="1481" customWidth="1"/>
    <col min="12805" max="12805" width="9.1" style="1481" customWidth="1"/>
    <col min="12806" max="12806" width="11.1" style="1481" customWidth="1"/>
    <col min="12807" max="12809" width="9" style="1481"/>
    <col min="12810" max="12810" width="9.4" style="1481" customWidth="1"/>
    <col min="12811" max="12811" width="9" style="1481"/>
    <col min="12812" max="12812" width="9.4" style="1481" customWidth="1"/>
    <col min="12813" max="12815" width="9" style="1481"/>
    <col min="12816" max="12816" width="9.4" style="1481" customWidth="1"/>
    <col min="12817" max="12817" width="9" style="1481"/>
    <col min="12818" max="12818" width="9.4" style="1481" customWidth="1"/>
    <col min="12819" max="12822" width="9" style="1481"/>
    <col min="12823" max="12823" width="9.4" style="1481" customWidth="1"/>
    <col min="12824" max="12824" width="9" style="1481"/>
    <col min="12825" max="12825" width="9.4" style="1481" customWidth="1"/>
    <col min="12826" max="12844" width="9" style="1481"/>
    <col min="12845" max="12846" width="9.4" style="1481" customWidth="1"/>
    <col min="12847" max="13059" width="9" style="1481"/>
    <col min="13060" max="13060" width="13.5" style="1481" customWidth="1"/>
    <col min="13061" max="13061" width="9.1" style="1481" customWidth="1"/>
    <col min="13062" max="13062" width="11.1" style="1481" customWidth="1"/>
    <col min="13063" max="13065" width="9" style="1481"/>
    <col min="13066" max="13066" width="9.4" style="1481" customWidth="1"/>
    <col min="13067" max="13067" width="9" style="1481"/>
    <col min="13068" max="13068" width="9.4" style="1481" customWidth="1"/>
    <col min="13069" max="13071" width="9" style="1481"/>
    <col min="13072" max="13072" width="9.4" style="1481" customWidth="1"/>
    <col min="13073" max="13073" width="9" style="1481"/>
    <col min="13074" max="13074" width="9.4" style="1481" customWidth="1"/>
    <col min="13075" max="13078" width="9" style="1481"/>
    <col min="13079" max="13079" width="9.4" style="1481" customWidth="1"/>
    <col min="13080" max="13080" width="9" style="1481"/>
    <col min="13081" max="13081" width="9.4" style="1481" customWidth="1"/>
    <col min="13082" max="13100" width="9" style="1481"/>
    <col min="13101" max="13102" width="9.4" style="1481" customWidth="1"/>
    <col min="13103" max="13315" width="9" style="1481"/>
    <col min="13316" max="13316" width="13.5" style="1481" customWidth="1"/>
    <col min="13317" max="13317" width="9.1" style="1481" customWidth="1"/>
    <col min="13318" max="13318" width="11.1" style="1481" customWidth="1"/>
    <col min="13319" max="13321" width="9" style="1481"/>
    <col min="13322" max="13322" width="9.4" style="1481" customWidth="1"/>
    <col min="13323" max="13323" width="9" style="1481"/>
    <col min="13324" max="13324" width="9.4" style="1481" customWidth="1"/>
    <col min="13325" max="13327" width="9" style="1481"/>
    <col min="13328" max="13328" width="9.4" style="1481" customWidth="1"/>
    <col min="13329" max="13329" width="9" style="1481"/>
    <col min="13330" max="13330" width="9.4" style="1481" customWidth="1"/>
    <col min="13331" max="13334" width="9" style="1481"/>
    <col min="13335" max="13335" width="9.4" style="1481" customWidth="1"/>
    <col min="13336" max="13336" width="9" style="1481"/>
    <col min="13337" max="13337" width="9.4" style="1481" customWidth="1"/>
    <col min="13338" max="13356" width="9" style="1481"/>
    <col min="13357" max="13358" width="9.4" style="1481" customWidth="1"/>
    <col min="13359" max="13571" width="9" style="1481"/>
    <col min="13572" max="13572" width="13.5" style="1481" customWidth="1"/>
    <col min="13573" max="13573" width="9.1" style="1481" customWidth="1"/>
    <col min="13574" max="13574" width="11.1" style="1481" customWidth="1"/>
    <col min="13575" max="13577" width="9" style="1481"/>
    <col min="13578" max="13578" width="9.4" style="1481" customWidth="1"/>
    <col min="13579" max="13579" width="9" style="1481"/>
    <col min="13580" max="13580" width="9.4" style="1481" customWidth="1"/>
    <col min="13581" max="13583" width="9" style="1481"/>
    <col min="13584" max="13584" width="9.4" style="1481" customWidth="1"/>
    <col min="13585" max="13585" width="9" style="1481"/>
    <col min="13586" max="13586" width="9.4" style="1481" customWidth="1"/>
    <col min="13587" max="13590" width="9" style="1481"/>
    <col min="13591" max="13591" width="9.4" style="1481" customWidth="1"/>
    <col min="13592" max="13592" width="9" style="1481"/>
    <col min="13593" max="13593" width="9.4" style="1481" customWidth="1"/>
    <col min="13594" max="13612" width="9" style="1481"/>
    <col min="13613" max="13614" width="9.4" style="1481" customWidth="1"/>
    <col min="13615" max="13827" width="9" style="1481"/>
    <col min="13828" max="13828" width="13.5" style="1481" customWidth="1"/>
    <col min="13829" max="13829" width="9.1" style="1481" customWidth="1"/>
    <col min="13830" max="13830" width="11.1" style="1481" customWidth="1"/>
    <col min="13831" max="13833" width="9" style="1481"/>
    <col min="13834" max="13834" width="9.4" style="1481" customWidth="1"/>
    <col min="13835" max="13835" width="9" style="1481"/>
    <col min="13836" max="13836" width="9.4" style="1481" customWidth="1"/>
    <col min="13837" max="13839" width="9" style="1481"/>
    <col min="13840" max="13840" width="9.4" style="1481" customWidth="1"/>
    <col min="13841" max="13841" width="9" style="1481"/>
    <col min="13842" max="13842" width="9.4" style="1481" customWidth="1"/>
    <col min="13843" max="13846" width="9" style="1481"/>
    <col min="13847" max="13847" width="9.4" style="1481" customWidth="1"/>
    <col min="13848" max="13848" width="9" style="1481"/>
    <col min="13849" max="13849" width="9.4" style="1481" customWidth="1"/>
    <col min="13850" max="13868" width="9" style="1481"/>
    <col min="13869" max="13870" width="9.4" style="1481" customWidth="1"/>
    <col min="13871" max="14083" width="9" style="1481"/>
    <col min="14084" max="14084" width="13.5" style="1481" customWidth="1"/>
    <col min="14085" max="14085" width="9.1" style="1481" customWidth="1"/>
    <col min="14086" max="14086" width="11.1" style="1481" customWidth="1"/>
    <col min="14087" max="14089" width="9" style="1481"/>
    <col min="14090" max="14090" width="9.4" style="1481" customWidth="1"/>
    <col min="14091" max="14091" width="9" style="1481"/>
    <col min="14092" max="14092" width="9.4" style="1481" customWidth="1"/>
    <col min="14093" max="14095" width="9" style="1481"/>
    <col min="14096" max="14096" width="9.4" style="1481" customWidth="1"/>
    <col min="14097" max="14097" width="9" style="1481"/>
    <col min="14098" max="14098" width="9.4" style="1481" customWidth="1"/>
    <col min="14099" max="14102" width="9" style="1481"/>
    <col min="14103" max="14103" width="9.4" style="1481" customWidth="1"/>
    <col min="14104" max="14104" width="9" style="1481"/>
    <col min="14105" max="14105" width="9.4" style="1481" customWidth="1"/>
    <col min="14106" max="14124" width="9" style="1481"/>
    <col min="14125" max="14126" width="9.4" style="1481" customWidth="1"/>
    <col min="14127" max="14339" width="9" style="1481"/>
    <col min="14340" max="14340" width="13.5" style="1481" customWidth="1"/>
    <col min="14341" max="14341" width="9.1" style="1481" customWidth="1"/>
    <col min="14342" max="14342" width="11.1" style="1481" customWidth="1"/>
    <col min="14343" max="14345" width="9" style="1481"/>
    <col min="14346" max="14346" width="9.4" style="1481" customWidth="1"/>
    <col min="14347" max="14347" width="9" style="1481"/>
    <col min="14348" max="14348" width="9.4" style="1481" customWidth="1"/>
    <col min="14349" max="14351" width="9" style="1481"/>
    <col min="14352" max="14352" width="9.4" style="1481" customWidth="1"/>
    <col min="14353" max="14353" width="9" style="1481"/>
    <col min="14354" max="14354" width="9.4" style="1481" customWidth="1"/>
    <col min="14355" max="14358" width="9" style="1481"/>
    <col min="14359" max="14359" width="9.4" style="1481" customWidth="1"/>
    <col min="14360" max="14360" width="9" style="1481"/>
    <col min="14361" max="14361" width="9.4" style="1481" customWidth="1"/>
    <col min="14362" max="14380" width="9" style="1481"/>
    <col min="14381" max="14382" width="9.4" style="1481" customWidth="1"/>
    <col min="14383" max="14595" width="9" style="1481"/>
    <col min="14596" max="14596" width="13.5" style="1481" customWidth="1"/>
    <col min="14597" max="14597" width="9.1" style="1481" customWidth="1"/>
    <col min="14598" max="14598" width="11.1" style="1481" customWidth="1"/>
    <col min="14599" max="14601" width="9" style="1481"/>
    <col min="14602" max="14602" width="9.4" style="1481" customWidth="1"/>
    <col min="14603" max="14603" width="9" style="1481"/>
    <col min="14604" max="14604" width="9.4" style="1481" customWidth="1"/>
    <col min="14605" max="14607" width="9" style="1481"/>
    <col min="14608" max="14608" width="9.4" style="1481" customWidth="1"/>
    <col min="14609" max="14609" width="9" style="1481"/>
    <col min="14610" max="14610" width="9.4" style="1481" customWidth="1"/>
    <col min="14611" max="14614" width="9" style="1481"/>
    <col min="14615" max="14615" width="9.4" style="1481" customWidth="1"/>
    <col min="14616" max="14616" width="9" style="1481"/>
    <col min="14617" max="14617" width="9.4" style="1481" customWidth="1"/>
    <col min="14618" max="14636" width="9" style="1481"/>
    <col min="14637" max="14638" width="9.4" style="1481" customWidth="1"/>
    <col min="14639" max="14851" width="9" style="1481"/>
    <col min="14852" max="14852" width="13.5" style="1481" customWidth="1"/>
    <col min="14853" max="14853" width="9.1" style="1481" customWidth="1"/>
    <col min="14854" max="14854" width="11.1" style="1481" customWidth="1"/>
    <col min="14855" max="14857" width="9" style="1481"/>
    <col min="14858" max="14858" width="9.4" style="1481" customWidth="1"/>
    <col min="14859" max="14859" width="9" style="1481"/>
    <col min="14860" max="14860" width="9.4" style="1481" customWidth="1"/>
    <col min="14861" max="14863" width="9" style="1481"/>
    <col min="14864" max="14864" width="9.4" style="1481" customWidth="1"/>
    <col min="14865" max="14865" width="9" style="1481"/>
    <col min="14866" max="14866" width="9.4" style="1481" customWidth="1"/>
    <col min="14867" max="14870" width="9" style="1481"/>
    <col min="14871" max="14871" width="9.4" style="1481" customWidth="1"/>
    <col min="14872" max="14872" width="9" style="1481"/>
    <col min="14873" max="14873" width="9.4" style="1481" customWidth="1"/>
    <col min="14874" max="14892" width="9" style="1481"/>
    <col min="14893" max="14894" width="9.4" style="1481" customWidth="1"/>
    <col min="14895" max="15107" width="9" style="1481"/>
    <col min="15108" max="15108" width="13.5" style="1481" customWidth="1"/>
    <col min="15109" max="15109" width="9.1" style="1481" customWidth="1"/>
    <col min="15110" max="15110" width="11.1" style="1481" customWidth="1"/>
    <col min="15111" max="15113" width="9" style="1481"/>
    <col min="15114" max="15114" width="9.4" style="1481" customWidth="1"/>
    <col min="15115" max="15115" width="9" style="1481"/>
    <col min="15116" max="15116" width="9.4" style="1481" customWidth="1"/>
    <col min="15117" max="15119" width="9" style="1481"/>
    <col min="15120" max="15120" width="9.4" style="1481" customWidth="1"/>
    <col min="15121" max="15121" width="9" style="1481"/>
    <col min="15122" max="15122" width="9.4" style="1481" customWidth="1"/>
    <col min="15123" max="15126" width="9" style="1481"/>
    <col min="15127" max="15127" width="9.4" style="1481" customWidth="1"/>
    <col min="15128" max="15128" width="9" style="1481"/>
    <col min="15129" max="15129" width="9.4" style="1481" customWidth="1"/>
    <col min="15130" max="15148" width="9" style="1481"/>
    <col min="15149" max="15150" width="9.4" style="1481" customWidth="1"/>
    <col min="15151" max="15363" width="9" style="1481"/>
    <col min="15364" max="15364" width="13.5" style="1481" customWidth="1"/>
    <col min="15365" max="15365" width="9.1" style="1481" customWidth="1"/>
    <col min="15366" max="15366" width="11.1" style="1481" customWidth="1"/>
    <col min="15367" max="15369" width="9" style="1481"/>
    <col min="15370" max="15370" width="9.4" style="1481" customWidth="1"/>
    <col min="15371" max="15371" width="9" style="1481"/>
    <col min="15372" max="15372" width="9.4" style="1481" customWidth="1"/>
    <col min="15373" max="15375" width="9" style="1481"/>
    <col min="15376" max="15376" width="9.4" style="1481" customWidth="1"/>
    <col min="15377" max="15377" width="9" style="1481"/>
    <col min="15378" max="15378" width="9.4" style="1481" customWidth="1"/>
    <col min="15379" max="15382" width="9" style="1481"/>
    <col min="15383" max="15383" width="9.4" style="1481" customWidth="1"/>
    <col min="15384" max="15384" width="9" style="1481"/>
    <col min="15385" max="15385" width="9.4" style="1481" customWidth="1"/>
    <col min="15386" max="15404" width="9" style="1481"/>
    <col min="15405" max="15406" width="9.4" style="1481" customWidth="1"/>
    <col min="15407" max="15619" width="9" style="1481"/>
    <col min="15620" max="15620" width="13.5" style="1481" customWidth="1"/>
    <col min="15621" max="15621" width="9.1" style="1481" customWidth="1"/>
    <col min="15622" max="15622" width="11.1" style="1481" customWidth="1"/>
    <col min="15623" max="15625" width="9" style="1481"/>
    <col min="15626" max="15626" width="9.4" style="1481" customWidth="1"/>
    <col min="15627" max="15627" width="9" style="1481"/>
    <col min="15628" max="15628" width="9.4" style="1481" customWidth="1"/>
    <col min="15629" max="15631" width="9" style="1481"/>
    <col min="15632" max="15632" width="9.4" style="1481" customWidth="1"/>
    <col min="15633" max="15633" width="9" style="1481"/>
    <col min="15634" max="15634" width="9.4" style="1481" customWidth="1"/>
    <col min="15635" max="15638" width="9" style="1481"/>
    <col min="15639" max="15639" width="9.4" style="1481" customWidth="1"/>
    <col min="15640" max="15640" width="9" style="1481"/>
    <col min="15641" max="15641" width="9.4" style="1481" customWidth="1"/>
    <col min="15642" max="15660" width="9" style="1481"/>
    <col min="15661" max="15662" width="9.4" style="1481" customWidth="1"/>
    <col min="15663" max="15875" width="9" style="1481"/>
    <col min="15876" max="15876" width="13.5" style="1481" customWidth="1"/>
    <col min="15877" max="15877" width="9.1" style="1481" customWidth="1"/>
    <col min="15878" max="15878" width="11.1" style="1481" customWidth="1"/>
    <col min="15879" max="15881" width="9" style="1481"/>
    <col min="15882" max="15882" width="9.4" style="1481" customWidth="1"/>
    <col min="15883" max="15883" width="9" style="1481"/>
    <col min="15884" max="15884" width="9.4" style="1481" customWidth="1"/>
    <col min="15885" max="15887" width="9" style="1481"/>
    <col min="15888" max="15888" width="9.4" style="1481" customWidth="1"/>
    <col min="15889" max="15889" width="9" style="1481"/>
    <col min="15890" max="15890" width="9.4" style="1481" customWidth="1"/>
    <col min="15891" max="15894" width="9" style="1481"/>
    <col min="15895" max="15895" width="9.4" style="1481" customWidth="1"/>
    <col min="15896" max="15896" width="9" style="1481"/>
    <col min="15897" max="15897" width="9.4" style="1481" customWidth="1"/>
    <col min="15898" max="15916" width="9" style="1481"/>
    <col min="15917" max="15918" width="9.4" style="1481" customWidth="1"/>
    <col min="15919" max="16131" width="9" style="1481"/>
    <col min="16132" max="16132" width="13.5" style="1481" customWidth="1"/>
    <col min="16133" max="16133" width="9.1" style="1481" customWidth="1"/>
    <col min="16134" max="16134" width="11.1" style="1481" customWidth="1"/>
    <col min="16135" max="16137" width="9" style="1481"/>
    <col min="16138" max="16138" width="9.4" style="1481" customWidth="1"/>
    <col min="16139" max="16139" width="9" style="1481"/>
    <col min="16140" max="16140" width="9.4" style="1481" customWidth="1"/>
    <col min="16141" max="16143" width="9" style="1481"/>
    <col min="16144" max="16144" width="9.4" style="1481" customWidth="1"/>
    <col min="16145" max="16145" width="9" style="1481"/>
    <col min="16146" max="16146" width="9.4" style="1481" customWidth="1"/>
    <col min="16147" max="16150" width="9" style="1481"/>
    <col min="16151" max="16151" width="9.4" style="1481" customWidth="1"/>
    <col min="16152" max="16152" width="9" style="1481"/>
    <col min="16153" max="16153" width="9.4" style="1481" customWidth="1"/>
    <col min="16154" max="16172" width="9" style="1481"/>
    <col min="16173" max="16174" width="9.4" style="1481" customWidth="1"/>
    <col min="16175" max="16384" width="9" style="1481"/>
  </cols>
  <sheetData>
    <row r="1" ht="12.75" spans="1:45">
      <c r="A1" s="1563" t="s">
        <v>289</v>
      </c>
      <c r="B1" s="1484"/>
      <c r="C1" s="1484"/>
      <c r="D1" s="1451" t="s">
        <v>290</v>
      </c>
      <c r="E1" s="1451" t="s">
        <v>290</v>
      </c>
      <c r="F1" s="1451" t="s">
        <v>291</v>
      </c>
      <c r="G1" s="1451" t="s">
        <v>291</v>
      </c>
      <c r="H1" s="1451" t="s">
        <v>291</v>
      </c>
      <c r="I1" s="1451" t="s">
        <v>291</v>
      </c>
      <c r="J1" s="1451" t="s">
        <v>292</v>
      </c>
      <c r="K1" s="1451" t="s">
        <v>292</v>
      </c>
      <c r="L1" s="1451" t="s">
        <v>292</v>
      </c>
      <c r="M1" s="1451" t="s">
        <v>292</v>
      </c>
      <c r="N1" s="1451" t="s">
        <v>293</v>
      </c>
      <c r="O1" s="1451" t="s">
        <v>293</v>
      </c>
      <c r="P1" s="1451" t="s">
        <v>293</v>
      </c>
      <c r="Q1" s="1451" t="s">
        <v>293</v>
      </c>
      <c r="R1" s="1451" t="s">
        <v>294</v>
      </c>
      <c r="S1" s="1451" t="s">
        <v>294</v>
      </c>
      <c r="T1" s="1451" t="s">
        <v>294</v>
      </c>
      <c r="U1" s="1451" t="s">
        <v>294</v>
      </c>
      <c r="V1" s="1451" t="s">
        <v>295</v>
      </c>
      <c r="W1" s="1451" t="s">
        <v>295</v>
      </c>
      <c r="X1" s="1451" t="s">
        <v>295</v>
      </c>
      <c r="Y1" s="1451" t="s">
        <v>295</v>
      </c>
      <c r="Z1" s="1451" t="s">
        <v>296</v>
      </c>
      <c r="AA1" s="1451" t="s">
        <v>296</v>
      </c>
      <c r="AB1" s="1451" t="s">
        <v>296</v>
      </c>
      <c r="AC1" s="1451" t="s">
        <v>296</v>
      </c>
      <c r="AD1" s="1451" t="s">
        <v>297</v>
      </c>
      <c r="AE1" s="1451" t="s">
        <v>297</v>
      </c>
      <c r="AF1" s="1451" t="s">
        <v>297</v>
      </c>
      <c r="AG1" s="1451" t="s">
        <v>297</v>
      </c>
      <c r="AH1" s="1451" t="s">
        <v>298</v>
      </c>
      <c r="AI1" s="1451" t="s">
        <v>298</v>
      </c>
      <c r="AJ1" s="1451" t="s">
        <v>298</v>
      </c>
      <c r="AK1" s="1451" t="s">
        <v>298</v>
      </c>
      <c r="AL1" s="1451" t="s">
        <v>299</v>
      </c>
      <c r="AM1" s="1451" t="s">
        <v>299</v>
      </c>
      <c r="AN1" s="1451" t="s">
        <v>299</v>
      </c>
      <c r="AO1" s="1451" t="s">
        <v>299</v>
      </c>
      <c r="AP1" s="1451" t="s">
        <v>300</v>
      </c>
      <c r="AQ1" s="1451" t="s">
        <v>300</v>
      </c>
      <c r="AR1" s="1451" t="s">
        <v>300</v>
      </c>
      <c r="AS1" s="1451" t="s">
        <v>300</v>
      </c>
    </row>
    <row r="2" ht="12.75" spans="1:45">
      <c r="A2" s="1483"/>
      <c r="B2" s="1484"/>
      <c r="C2" s="1484" t="s">
        <v>301</v>
      </c>
      <c r="D2" s="1454" t="s">
        <v>119</v>
      </c>
      <c r="E2" s="1454" t="s">
        <v>120</v>
      </c>
      <c r="F2" s="1454" t="s">
        <v>121</v>
      </c>
      <c r="G2" s="1454" t="s">
        <v>122</v>
      </c>
      <c r="H2" s="1454" t="s">
        <v>123</v>
      </c>
      <c r="I2" s="1454" t="s">
        <v>124</v>
      </c>
      <c r="J2" s="1454" t="s">
        <v>125</v>
      </c>
      <c r="K2" s="1454" t="s">
        <v>126</v>
      </c>
      <c r="L2" s="1454" t="s">
        <v>127</v>
      </c>
      <c r="M2" s="1454" t="s">
        <v>128</v>
      </c>
      <c r="N2" s="1454" t="s">
        <v>129</v>
      </c>
      <c r="O2" s="1454" t="s">
        <v>130</v>
      </c>
      <c r="P2" s="1454" t="s">
        <v>131</v>
      </c>
      <c r="Q2" s="1454" t="s">
        <v>132</v>
      </c>
      <c r="R2" s="1454" t="s">
        <v>133</v>
      </c>
      <c r="S2" s="1454" t="s">
        <v>134</v>
      </c>
      <c r="T2" s="1454" t="s">
        <v>135</v>
      </c>
      <c r="U2" s="1454" t="s">
        <v>136</v>
      </c>
      <c r="V2" s="1454" t="s">
        <v>137</v>
      </c>
      <c r="W2" s="1454" t="s">
        <v>138</v>
      </c>
      <c r="X2" s="1454" t="s">
        <v>302</v>
      </c>
      <c r="Y2" s="1454" t="s">
        <v>303</v>
      </c>
      <c r="Z2" s="1454" t="s">
        <v>271</v>
      </c>
      <c r="AA2" s="1454" t="s">
        <v>264</v>
      </c>
      <c r="AB2" s="1454" t="s">
        <v>304</v>
      </c>
      <c r="AC2" s="1454" t="s">
        <v>305</v>
      </c>
      <c r="AD2" s="1454" t="s">
        <v>306</v>
      </c>
      <c r="AE2" s="1454" t="s">
        <v>307</v>
      </c>
      <c r="AF2" s="1454" t="s">
        <v>308</v>
      </c>
      <c r="AG2" s="1454" t="s">
        <v>309</v>
      </c>
      <c r="AH2" s="1454" t="s">
        <v>310</v>
      </c>
      <c r="AI2" s="1454" t="s">
        <v>311</v>
      </c>
      <c r="AJ2" s="1454" t="s">
        <v>312</v>
      </c>
      <c r="AK2" s="1454" t="s">
        <v>313</v>
      </c>
      <c r="AL2" s="1454" t="s">
        <v>314</v>
      </c>
      <c r="AM2" s="1454" t="s">
        <v>315</v>
      </c>
      <c r="AN2" s="1454" t="s">
        <v>316</v>
      </c>
      <c r="AO2" s="1454" t="s">
        <v>317</v>
      </c>
      <c r="AP2" s="1454" t="s">
        <v>318</v>
      </c>
      <c r="AQ2" s="1454" t="s">
        <v>319</v>
      </c>
      <c r="AR2" s="1454" t="s">
        <v>320</v>
      </c>
      <c r="AS2" s="1454" t="s">
        <v>321</v>
      </c>
    </row>
    <row r="3" spans="1:45">
      <c r="A3" s="1485" t="s">
        <v>322</v>
      </c>
      <c r="B3" s="1485" t="s">
        <v>234</v>
      </c>
      <c r="C3" s="1485">
        <v>204543.482386762</v>
      </c>
      <c r="D3" s="1485">
        <v>0</v>
      </c>
      <c r="E3" s="1485">
        <v>0</v>
      </c>
      <c r="F3" s="1485">
        <v>0</v>
      </c>
      <c r="G3" s="1485">
        <v>0</v>
      </c>
      <c r="H3" s="1485">
        <v>0</v>
      </c>
      <c r="I3" s="1485">
        <v>0</v>
      </c>
      <c r="J3" s="1485">
        <v>0</v>
      </c>
      <c r="K3" s="1485">
        <v>0</v>
      </c>
      <c r="L3" s="1485">
        <v>0</v>
      </c>
      <c r="M3" s="1485">
        <v>0</v>
      </c>
      <c r="N3" s="1485">
        <v>0</v>
      </c>
      <c r="O3" s="1485">
        <v>0</v>
      </c>
      <c r="P3" s="1485">
        <v>0</v>
      </c>
      <c r="Q3" s="1485">
        <v>23544.1852983453</v>
      </c>
      <c r="R3" s="1485">
        <v>23544.1852983453</v>
      </c>
      <c r="S3" s="1485">
        <v>23544.1852983453</v>
      </c>
      <c r="T3" s="1485">
        <v>23544.1852983453</v>
      </c>
      <c r="U3" s="1485">
        <v>23544.1852983453</v>
      </c>
      <c r="V3" s="1485">
        <v>23544.1852983453</v>
      </c>
      <c r="W3" s="1485">
        <v>23544.1852983453</v>
      </c>
      <c r="X3" s="1485">
        <v>39734.1852983453</v>
      </c>
      <c r="Y3" s="1485">
        <v>0</v>
      </c>
      <c r="Z3" s="1485">
        <v>0</v>
      </c>
      <c r="AA3" s="1485">
        <v>0</v>
      </c>
      <c r="AB3" s="1485">
        <v>0</v>
      </c>
      <c r="AC3" s="1485">
        <v>0</v>
      </c>
      <c r="AD3" s="1485">
        <v>0</v>
      </c>
      <c r="AE3" s="1485">
        <v>0</v>
      </c>
      <c r="AF3" s="1485">
        <v>0</v>
      </c>
      <c r="AG3" s="1485">
        <v>0</v>
      </c>
      <c r="AH3" s="1485">
        <v>0</v>
      </c>
      <c r="AI3" s="1485">
        <v>0</v>
      </c>
      <c r="AJ3" s="1485">
        <v>0</v>
      </c>
      <c r="AK3" s="1485">
        <v>0</v>
      </c>
      <c r="AL3" s="1485">
        <v>0</v>
      </c>
      <c r="AM3" s="1485">
        <v>0</v>
      </c>
      <c r="AN3" s="1485">
        <v>0</v>
      </c>
      <c r="AO3" s="1485">
        <v>0</v>
      </c>
      <c r="AP3" s="1485">
        <v>0</v>
      </c>
      <c r="AQ3" s="1485">
        <v>0</v>
      </c>
      <c r="AR3" s="1485">
        <v>0</v>
      </c>
      <c r="AS3" s="1485">
        <v>0</v>
      </c>
    </row>
    <row r="4" spans="1:45">
      <c r="A4" s="1485"/>
      <c r="B4" s="1485" t="s">
        <v>323</v>
      </c>
      <c r="C4" s="1485">
        <v>12547.1876932851</v>
      </c>
      <c r="D4" s="1485">
        <v>0</v>
      </c>
      <c r="E4" s="1485">
        <v>0</v>
      </c>
      <c r="F4" s="1485">
        <v>0</v>
      </c>
      <c r="G4" s="1485">
        <v>0</v>
      </c>
      <c r="H4" s="1485">
        <v>0</v>
      </c>
      <c r="I4" s="1485">
        <v>0</v>
      </c>
      <c r="J4" s="1485">
        <v>0</v>
      </c>
      <c r="K4" s="1485">
        <v>0</v>
      </c>
      <c r="L4" s="1485">
        <v>0</v>
      </c>
      <c r="M4" s="1485">
        <v>0</v>
      </c>
      <c r="N4" s="1485">
        <v>0</v>
      </c>
      <c r="O4" s="1485">
        <v>0</v>
      </c>
      <c r="P4" s="1485">
        <v>0</v>
      </c>
      <c r="Q4" s="1485">
        <v>12466.8014373272</v>
      </c>
      <c r="R4" s="1485">
        <v>12466.8014373272</v>
      </c>
      <c r="S4" s="1485">
        <v>12466.8014373272</v>
      </c>
      <c r="T4" s="1485">
        <v>12466.8014373272</v>
      </c>
      <c r="U4" s="1485">
        <v>12466.8014373272</v>
      </c>
      <c r="V4" s="1485">
        <v>12466.8014373272</v>
      </c>
      <c r="W4" s="1485">
        <v>12466.8014373272</v>
      </c>
      <c r="X4" s="1485">
        <v>12880.6134887437</v>
      </c>
      <c r="Y4" s="1485">
        <v>0</v>
      </c>
      <c r="Z4" s="1485">
        <v>0</v>
      </c>
      <c r="AA4" s="1485">
        <v>0</v>
      </c>
      <c r="AB4" s="1485">
        <v>0</v>
      </c>
      <c r="AC4" s="1485">
        <v>0</v>
      </c>
      <c r="AD4" s="1485">
        <v>0</v>
      </c>
      <c r="AE4" s="1485">
        <v>0</v>
      </c>
      <c r="AF4" s="1485">
        <v>0</v>
      </c>
      <c r="AG4" s="1485">
        <v>0</v>
      </c>
      <c r="AH4" s="1485">
        <v>0</v>
      </c>
      <c r="AI4" s="1485">
        <v>0</v>
      </c>
      <c r="AJ4" s="1485">
        <v>0</v>
      </c>
      <c r="AK4" s="1485">
        <v>0</v>
      </c>
      <c r="AL4" s="1485">
        <v>0</v>
      </c>
      <c r="AM4" s="1485">
        <v>0</v>
      </c>
      <c r="AN4" s="1485">
        <v>0</v>
      </c>
      <c r="AO4" s="1485">
        <v>0</v>
      </c>
      <c r="AP4" s="1485">
        <v>0</v>
      </c>
      <c r="AQ4" s="1485">
        <v>0</v>
      </c>
      <c r="AR4" s="1485">
        <v>0</v>
      </c>
      <c r="AS4" s="1485">
        <v>0</v>
      </c>
    </row>
    <row r="5" spans="1:45">
      <c r="A5" s="1485"/>
      <c r="B5" s="1485" t="s">
        <v>324</v>
      </c>
      <c r="C5" s="1485">
        <v>256644.546494486</v>
      </c>
      <c r="D5" s="1485">
        <v>0</v>
      </c>
      <c r="E5" s="1485">
        <v>0</v>
      </c>
      <c r="F5" s="1485">
        <v>0</v>
      </c>
      <c r="G5" s="1485">
        <v>0</v>
      </c>
      <c r="H5" s="1485">
        <v>0</v>
      </c>
      <c r="I5" s="1485">
        <v>0</v>
      </c>
      <c r="J5" s="1485">
        <v>0</v>
      </c>
      <c r="K5" s="1485">
        <v>0</v>
      </c>
      <c r="L5" s="1485">
        <v>0</v>
      </c>
      <c r="M5" s="1485">
        <v>0</v>
      </c>
      <c r="N5" s="1485">
        <v>0</v>
      </c>
      <c r="O5" s="1485">
        <v>0</v>
      </c>
      <c r="P5" s="1485">
        <v>0</v>
      </c>
      <c r="Q5" s="1485">
        <v>29352.0683118108</v>
      </c>
      <c r="R5" s="1485">
        <v>29352.0683118108</v>
      </c>
      <c r="S5" s="1485">
        <v>29352.0683118108</v>
      </c>
      <c r="T5" s="1485">
        <v>29352.0683118108</v>
      </c>
      <c r="U5" s="1485">
        <v>29352.0683118108</v>
      </c>
      <c r="V5" s="1485">
        <v>29352.0683118108</v>
      </c>
      <c r="W5" s="1485">
        <v>29352.0683118108</v>
      </c>
      <c r="X5" s="1485">
        <v>51180.0683118108</v>
      </c>
      <c r="Y5" s="1485">
        <v>0</v>
      </c>
      <c r="Z5" s="1485">
        <v>0</v>
      </c>
      <c r="AA5" s="1485">
        <v>0</v>
      </c>
      <c r="AB5" s="1485">
        <v>0</v>
      </c>
      <c r="AC5" s="1485">
        <v>0</v>
      </c>
      <c r="AD5" s="1485">
        <v>0</v>
      </c>
      <c r="AE5" s="1485">
        <v>0</v>
      </c>
      <c r="AF5" s="1485">
        <v>0</v>
      </c>
      <c r="AG5" s="1485">
        <v>0</v>
      </c>
      <c r="AH5" s="1485">
        <v>0</v>
      </c>
      <c r="AI5" s="1485">
        <v>0</v>
      </c>
      <c r="AJ5" s="1485">
        <v>0</v>
      </c>
      <c r="AK5" s="1485">
        <v>0</v>
      </c>
      <c r="AL5" s="1485">
        <v>0</v>
      </c>
      <c r="AM5" s="1485">
        <v>0</v>
      </c>
      <c r="AN5" s="1485">
        <v>0</v>
      </c>
      <c r="AO5" s="1485">
        <v>0</v>
      </c>
      <c r="AP5" s="1485">
        <v>0</v>
      </c>
      <c r="AQ5" s="1485">
        <v>0</v>
      </c>
      <c r="AR5" s="1485">
        <v>0</v>
      </c>
      <c r="AS5" s="1485">
        <v>0</v>
      </c>
    </row>
    <row r="6" spans="1:45">
      <c r="A6" s="1487" t="s">
        <v>50</v>
      </c>
      <c r="B6" s="1484" t="s">
        <v>234</v>
      </c>
      <c r="C6" s="1483">
        <v>94176.7411933811</v>
      </c>
      <c r="D6" s="1483">
        <v>0</v>
      </c>
      <c r="E6" s="1483">
        <v>0</v>
      </c>
      <c r="F6" s="1483">
        <v>0</v>
      </c>
      <c r="G6" s="1483">
        <v>0</v>
      </c>
      <c r="H6" s="1483">
        <v>0</v>
      </c>
      <c r="I6" s="1483">
        <v>0</v>
      </c>
      <c r="J6" s="1483">
        <v>0</v>
      </c>
      <c r="K6" s="1483">
        <v>0</v>
      </c>
      <c r="L6" s="1483">
        <v>0</v>
      </c>
      <c r="M6" s="1483">
        <v>0</v>
      </c>
      <c r="N6" s="1483">
        <v>0</v>
      </c>
      <c r="O6" s="1483">
        <v>0</v>
      </c>
      <c r="P6" s="1483">
        <v>0</v>
      </c>
      <c r="Q6" s="1483">
        <v>23544.1852983453</v>
      </c>
      <c r="R6" s="1483">
        <v>23544.1852983453</v>
      </c>
      <c r="S6" s="1483">
        <v>23544.1852983453</v>
      </c>
      <c r="T6" s="1483">
        <v>23544.1852983453</v>
      </c>
      <c r="U6" s="1483">
        <v>0</v>
      </c>
      <c r="V6" s="1483">
        <v>0</v>
      </c>
      <c r="W6" s="1483">
        <v>0</v>
      </c>
      <c r="X6" s="1483">
        <v>0</v>
      </c>
      <c r="Y6" s="1483">
        <v>0</v>
      </c>
      <c r="Z6" s="1483">
        <v>0</v>
      </c>
      <c r="AA6" s="1483">
        <v>0</v>
      </c>
      <c r="AB6" s="1483">
        <v>0</v>
      </c>
      <c r="AC6" s="1483">
        <v>0</v>
      </c>
      <c r="AD6" s="1483">
        <v>0</v>
      </c>
      <c r="AE6" s="1483">
        <v>0</v>
      </c>
      <c r="AF6" s="1483">
        <v>0</v>
      </c>
      <c r="AG6" s="1483">
        <v>0</v>
      </c>
      <c r="AH6" s="1483">
        <v>0</v>
      </c>
      <c r="AI6" s="1483">
        <v>0</v>
      </c>
      <c r="AJ6" s="1483">
        <v>0</v>
      </c>
      <c r="AK6" s="1483">
        <v>0</v>
      </c>
      <c r="AL6" s="1483">
        <v>0</v>
      </c>
      <c r="AM6" s="1483">
        <v>0</v>
      </c>
      <c r="AN6" s="1483">
        <v>0</v>
      </c>
      <c r="AO6" s="1483">
        <v>0</v>
      </c>
      <c r="AP6" s="1483">
        <v>0</v>
      </c>
      <c r="AQ6" s="1483">
        <v>0</v>
      </c>
      <c r="AR6" s="1483">
        <v>0</v>
      </c>
      <c r="AS6" s="1483">
        <v>0</v>
      </c>
    </row>
    <row r="7" spans="1:45">
      <c r="A7" s="1487"/>
      <c r="B7" s="1484" t="s">
        <v>323</v>
      </c>
      <c r="C7" s="1483">
        <v>12466.8014373272</v>
      </c>
      <c r="D7" s="1483">
        <v>0</v>
      </c>
      <c r="E7" s="1483">
        <v>0</v>
      </c>
      <c r="F7" s="1483">
        <v>0</v>
      </c>
      <c r="G7" s="1483">
        <v>0</v>
      </c>
      <c r="H7" s="1483">
        <v>0</v>
      </c>
      <c r="I7" s="1483">
        <v>0</v>
      </c>
      <c r="J7" s="1483">
        <v>0</v>
      </c>
      <c r="K7" s="1483">
        <v>0</v>
      </c>
      <c r="L7" s="1483">
        <v>0</v>
      </c>
      <c r="M7" s="1483">
        <v>0</v>
      </c>
      <c r="N7" s="1483">
        <v>0</v>
      </c>
      <c r="O7" s="1483">
        <v>0</v>
      </c>
      <c r="P7" s="1483">
        <v>0</v>
      </c>
      <c r="Q7" s="1483">
        <v>12466.8014373272</v>
      </c>
      <c r="R7" s="1483">
        <v>12466.8014373272</v>
      </c>
      <c r="S7" s="1483">
        <v>12466.8014373272</v>
      </c>
      <c r="T7" s="1483">
        <v>12466.8014373272</v>
      </c>
      <c r="U7" s="1483">
        <v>0</v>
      </c>
      <c r="V7" s="1483">
        <v>0</v>
      </c>
      <c r="W7" s="1483">
        <v>0</v>
      </c>
      <c r="X7" s="1483">
        <v>0</v>
      </c>
      <c r="Y7" s="1483">
        <v>0</v>
      </c>
      <c r="Z7" s="1483">
        <v>0</v>
      </c>
      <c r="AA7" s="1483">
        <v>0</v>
      </c>
      <c r="AB7" s="1483">
        <v>0</v>
      </c>
      <c r="AC7" s="1483">
        <v>0</v>
      </c>
      <c r="AD7" s="1483">
        <v>0</v>
      </c>
      <c r="AE7" s="1483">
        <v>0</v>
      </c>
      <c r="AF7" s="1483">
        <v>0</v>
      </c>
      <c r="AG7" s="1483">
        <v>0</v>
      </c>
      <c r="AH7" s="1483">
        <v>0</v>
      </c>
      <c r="AI7" s="1483">
        <v>0</v>
      </c>
      <c r="AJ7" s="1483">
        <v>0</v>
      </c>
      <c r="AK7" s="1483">
        <v>0</v>
      </c>
      <c r="AL7" s="1483">
        <v>0</v>
      </c>
      <c r="AM7" s="1483">
        <v>0</v>
      </c>
      <c r="AN7" s="1483">
        <v>0</v>
      </c>
      <c r="AO7" s="1483">
        <v>0</v>
      </c>
      <c r="AP7" s="1483">
        <v>0</v>
      </c>
      <c r="AQ7" s="1483">
        <v>0</v>
      </c>
      <c r="AR7" s="1483">
        <v>0</v>
      </c>
      <c r="AS7" s="1483">
        <v>0</v>
      </c>
    </row>
    <row r="8" spans="1:45">
      <c r="A8" s="1487"/>
      <c r="B8" s="1484" t="s">
        <v>324</v>
      </c>
      <c r="C8" s="1483">
        <v>117408.273247243</v>
      </c>
      <c r="D8" s="1483">
        <v>0</v>
      </c>
      <c r="E8" s="1483">
        <v>0</v>
      </c>
      <c r="F8" s="1483">
        <v>0</v>
      </c>
      <c r="G8" s="1483">
        <v>0</v>
      </c>
      <c r="H8" s="1483">
        <v>0</v>
      </c>
      <c r="I8" s="1483">
        <v>0</v>
      </c>
      <c r="J8" s="1483">
        <v>0</v>
      </c>
      <c r="K8" s="1483">
        <v>0</v>
      </c>
      <c r="L8" s="1483">
        <v>0</v>
      </c>
      <c r="M8" s="1483">
        <v>0</v>
      </c>
      <c r="N8" s="1483">
        <v>0</v>
      </c>
      <c r="O8" s="1483">
        <v>0</v>
      </c>
      <c r="P8" s="1483">
        <v>0</v>
      </c>
      <c r="Q8" s="1483">
        <v>29352.0683118108</v>
      </c>
      <c r="R8" s="1483">
        <v>29352.0683118108</v>
      </c>
      <c r="S8" s="1483">
        <v>29352.0683118108</v>
      </c>
      <c r="T8" s="1483">
        <v>29352.0683118108</v>
      </c>
      <c r="U8" s="1483">
        <v>0</v>
      </c>
      <c r="V8" s="1483">
        <v>0</v>
      </c>
      <c r="W8" s="1483">
        <v>0</v>
      </c>
      <c r="X8" s="1483">
        <v>0</v>
      </c>
      <c r="Y8" s="1483">
        <v>0</v>
      </c>
      <c r="Z8" s="1483">
        <v>0</v>
      </c>
      <c r="AA8" s="1483">
        <v>0</v>
      </c>
      <c r="AB8" s="1483">
        <v>0</v>
      </c>
      <c r="AC8" s="1483">
        <v>0</v>
      </c>
      <c r="AD8" s="1483">
        <v>0</v>
      </c>
      <c r="AE8" s="1483">
        <v>0</v>
      </c>
      <c r="AF8" s="1483">
        <v>0</v>
      </c>
      <c r="AG8" s="1483">
        <v>0</v>
      </c>
      <c r="AH8" s="1483">
        <v>0</v>
      </c>
      <c r="AI8" s="1483">
        <v>0</v>
      </c>
      <c r="AJ8" s="1483">
        <v>0</v>
      </c>
      <c r="AK8" s="1483">
        <v>0</v>
      </c>
      <c r="AL8" s="1483">
        <v>0</v>
      </c>
      <c r="AM8" s="1483">
        <v>0</v>
      </c>
      <c r="AN8" s="1483">
        <v>0</v>
      </c>
      <c r="AO8" s="1483">
        <v>0</v>
      </c>
      <c r="AP8" s="1483">
        <v>0</v>
      </c>
      <c r="AQ8" s="1483">
        <v>0</v>
      </c>
      <c r="AR8" s="1483">
        <v>0</v>
      </c>
      <c r="AS8" s="1483">
        <v>0</v>
      </c>
    </row>
    <row r="9" s="1480" customFormat="1" spans="1:46">
      <c r="A9" s="1488" t="s">
        <v>202</v>
      </c>
      <c r="B9" s="1489" t="s">
        <v>234</v>
      </c>
      <c r="C9" s="1564">
        <v>576.741193381094</v>
      </c>
      <c r="D9" s="1494"/>
      <c r="E9" s="1494"/>
      <c r="F9" s="1494"/>
      <c r="G9" s="1494"/>
      <c r="H9" s="1494"/>
      <c r="I9" s="1494"/>
      <c r="J9" s="1494"/>
      <c r="K9" s="1494"/>
      <c r="L9" s="1494"/>
      <c r="M9" s="1494"/>
      <c r="N9" s="1494"/>
      <c r="O9" s="1494"/>
      <c r="P9" s="1494"/>
      <c r="Q9" s="1494">
        <v>144.185298345273</v>
      </c>
      <c r="R9" s="1494">
        <v>144.185298345273</v>
      </c>
      <c r="S9" s="1494">
        <v>144.185298345273</v>
      </c>
      <c r="T9" s="1494">
        <v>144.185298345273</v>
      </c>
      <c r="U9" s="1494"/>
      <c r="V9" s="1494"/>
      <c r="W9" s="1494"/>
      <c r="X9" s="1494"/>
      <c r="Y9" s="1494"/>
      <c r="Z9" s="1494"/>
      <c r="AA9" s="1494"/>
      <c r="AB9" s="1494"/>
      <c r="AC9" s="1494"/>
      <c r="AD9" s="1494"/>
      <c r="AE9" s="1494"/>
      <c r="AF9" s="1494"/>
      <c r="AG9" s="1494"/>
      <c r="AH9" s="1494"/>
      <c r="AI9" s="1565"/>
      <c r="AJ9" s="1565"/>
      <c r="AK9" s="1565"/>
      <c r="AL9" s="1565"/>
      <c r="AM9" s="1565"/>
      <c r="AN9" s="1565"/>
      <c r="AO9" s="1565"/>
      <c r="AP9" s="1565"/>
      <c r="AQ9" s="1565"/>
      <c r="AR9" s="1565"/>
      <c r="AS9" s="1565"/>
      <c r="AT9" s="1480">
        <v>0</v>
      </c>
    </row>
    <row r="10" s="1480" customFormat="1" spans="1:45">
      <c r="A10" s="1488"/>
      <c r="B10" s="1489" t="s">
        <v>323</v>
      </c>
      <c r="C10" s="1564">
        <v>60000</v>
      </c>
      <c r="D10" s="1494"/>
      <c r="E10" s="1494"/>
      <c r="F10" s="1494"/>
      <c r="G10" s="1494"/>
      <c r="H10" s="1494"/>
      <c r="I10" s="1494">
        <v>60000</v>
      </c>
      <c r="J10" s="1494">
        <v>60000</v>
      </c>
      <c r="K10" s="1494">
        <v>60000</v>
      </c>
      <c r="L10" s="1494">
        <v>60000</v>
      </c>
      <c r="M10" s="1494">
        <v>60000</v>
      </c>
      <c r="N10" s="1494">
        <v>60000</v>
      </c>
      <c r="O10" s="1494">
        <v>60000</v>
      </c>
      <c r="P10" s="1494">
        <v>60000</v>
      </c>
      <c r="Q10" s="1494">
        <v>60000</v>
      </c>
      <c r="R10" s="1494">
        <v>60000</v>
      </c>
      <c r="S10" s="1494">
        <v>60000</v>
      </c>
      <c r="T10" s="1494">
        <v>60000</v>
      </c>
      <c r="U10" s="1494">
        <v>60000</v>
      </c>
      <c r="V10" s="1494">
        <v>60000</v>
      </c>
      <c r="W10" s="1494">
        <v>60000</v>
      </c>
      <c r="X10" s="1494">
        <v>60000</v>
      </c>
      <c r="Y10" s="1494">
        <v>60000</v>
      </c>
      <c r="Z10" s="1494">
        <v>60000</v>
      </c>
      <c r="AA10" s="1494">
        <v>60000</v>
      </c>
      <c r="AB10" s="1494">
        <v>60000</v>
      </c>
      <c r="AC10" s="1494">
        <v>60000</v>
      </c>
      <c r="AD10" s="1494">
        <v>60000</v>
      </c>
      <c r="AE10" s="1494">
        <v>60000</v>
      </c>
      <c r="AF10" s="1494">
        <v>60000</v>
      </c>
      <c r="AG10" s="1494">
        <v>60000</v>
      </c>
      <c r="AH10" s="1494">
        <v>60000</v>
      </c>
      <c r="AI10" s="1494">
        <v>60000</v>
      </c>
      <c r="AJ10" s="1494">
        <v>60000</v>
      </c>
      <c r="AK10" s="1494">
        <v>60000</v>
      </c>
      <c r="AL10" s="1494">
        <v>60000</v>
      </c>
      <c r="AM10" s="1494">
        <v>60000</v>
      </c>
      <c r="AN10" s="1494">
        <v>60000</v>
      </c>
      <c r="AO10" s="1494">
        <v>60000</v>
      </c>
      <c r="AP10" s="1494">
        <v>60000</v>
      </c>
      <c r="AQ10" s="1494">
        <v>60000</v>
      </c>
      <c r="AR10" s="1494">
        <v>60000</v>
      </c>
      <c r="AS10" s="1494">
        <v>60000</v>
      </c>
    </row>
    <row r="11" spans="1:45">
      <c r="A11" s="1491"/>
      <c r="B11" s="1492" t="s">
        <v>324</v>
      </c>
      <c r="C11" s="1492">
        <v>3460.44716028656</v>
      </c>
      <c r="D11" s="1492">
        <v>0</v>
      </c>
      <c r="E11" s="1492">
        <v>0</v>
      </c>
      <c r="F11" s="1492">
        <v>0</v>
      </c>
      <c r="G11" s="1492">
        <v>0</v>
      </c>
      <c r="H11" s="1492">
        <v>0</v>
      </c>
      <c r="I11" s="1492">
        <v>0</v>
      </c>
      <c r="J11" s="1492">
        <v>0</v>
      </c>
      <c r="K11" s="1492">
        <v>0</v>
      </c>
      <c r="L11" s="1492">
        <v>0</v>
      </c>
      <c r="M11" s="1492">
        <v>0</v>
      </c>
      <c r="N11" s="1492">
        <v>0</v>
      </c>
      <c r="O11" s="1492">
        <v>0</v>
      </c>
      <c r="P11" s="1492">
        <v>0</v>
      </c>
      <c r="Q11" s="1492">
        <v>865.111790071641</v>
      </c>
      <c r="R11" s="1492">
        <v>865.111790071641</v>
      </c>
      <c r="S11" s="1492">
        <v>865.111790071641</v>
      </c>
      <c r="T11" s="1492">
        <v>865.111790071641</v>
      </c>
      <c r="U11" s="1492">
        <v>0</v>
      </c>
      <c r="V11" s="1492">
        <v>0</v>
      </c>
      <c r="W11" s="1492">
        <v>0</v>
      </c>
      <c r="X11" s="1492">
        <v>0</v>
      </c>
      <c r="Y11" s="1492">
        <v>0</v>
      </c>
      <c r="Z11" s="1492">
        <v>0</v>
      </c>
      <c r="AA11" s="1492">
        <v>0</v>
      </c>
      <c r="AB11" s="1492">
        <v>0</v>
      </c>
      <c r="AC11" s="1492">
        <v>0</v>
      </c>
      <c r="AD11" s="1492">
        <v>0</v>
      </c>
      <c r="AE11" s="1492">
        <v>0</v>
      </c>
      <c r="AF11" s="1492">
        <v>0</v>
      </c>
      <c r="AG11" s="1492">
        <v>0</v>
      </c>
      <c r="AH11" s="1492">
        <v>0</v>
      </c>
      <c r="AI11" s="1492">
        <v>0</v>
      </c>
      <c r="AJ11" s="1492">
        <v>0</v>
      </c>
      <c r="AK11" s="1492">
        <v>0</v>
      </c>
      <c r="AL11" s="1492">
        <v>0</v>
      </c>
      <c r="AM11" s="1492">
        <v>0</v>
      </c>
      <c r="AN11" s="1492">
        <v>0</v>
      </c>
      <c r="AO11" s="1492">
        <v>0</v>
      </c>
      <c r="AP11" s="1492">
        <v>0</v>
      </c>
      <c r="AQ11" s="1492">
        <v>0</v>
      </c>
      <c r="AR11" s="1492">
        <v>0</v>
      </c>
      <c r="AS11" s="1492">
        <v>0</v>
      </c>
    </row>
    <row r="12" s="1480" customFormat="1" spans="1:45">
      <c r="A12" s="1488" t="s">
        <v>195</v>
      </c>
      <c r="B12" s="1489" t="s">
        <v>234</v>
      </c>
      <c r="C12" s="1564">
        <v>93600</v>
      </c>
      <c r="D12" s="1494"/>
      <c r="E12" s="1494"/>
      <c r="F12" s="1494"/>
      <c r="G12" s="1494"/>
      <c r="H12" s="1494"/>
      <c r="I12" s="1494"/>
      <c r="J12" s="1494"/>
      <c r="K12" s="1494"/>
      <c r="L12" s="1494"/>
      <c r="M12" s="1494"/>
      <c r="N12" s="1494"/>
      <c r="O12" s="1494"/>
      <c r="P12" s="1494"/>
      <c r="Q12" s="1494">
        <v>23400</v>
      </c>
      <c r="R12" s="1494">
        <v>23400</v>
      </c>
      <c r="S12" s="1494">
        <v>23400</v>
      </c>
      <c r="T12" s="1494">
        <v>23400</v>
      </c>
      <c r="U12" s="1565"/>
      <c r="V12" s="1565"/>
      <c r="W12" s="1565"/>
      <c r="X12" s="1565"/>
      <c r="Y12" s="1565"/>
      <c r="Z12" s="1565"/>
      <c r="AA12" s="1565"/>
      <c r="AB12" s="1565"/>
      <c r="AC12" s="1565"/>
      <c r="AD12" s="1565"/>
      <c r="AE12" s="1565"/>
      <c r="AF12" s="1565"/>
      <c r="AG12" s="1565"/>
      <c r="AH12" s="1565"/>
      <c r="AI12" s="1565"/>
      <c r="AJ12" s="1565"/>
      <c r="AK12" s="1565"/>
      <c r="AL12" s="1565"/>
      <c r="AM12" s="1565"/>
      <c r="AN12" s="1565"/>
      <c r="AO12" s="1565"/>
      <c r="AP12" s="1565"/>
      <c r="AQ12" s="1565"/>
      <c r="AR12" s="1565"/>
      <c r="AS12" s="1565"/>
    </row>
    <row r="13" s="1480" customFormat="1" spans="1:45">
      <c r="A13" s="1488"/>
      <c r="B13" s="1489" t="s">
        <v>323</v>
      </c>
      <c r="C13" s="1564">
        <v>12173.9130434783</v>
      </c>
      <c r="D13" s="1494"/>
      <c r="E13" s="1494"/>
      <c r="F13" s="1564"/>
      <c r="G13" s="1564"/>
      <c r="H13" s="1494"/>
      <c r="I13" s="1494">
        <v>12173.9130434783</v>
      </c>
      <c r="J13" s="1494">
        <v>12173.9130434783</v>
      </c>
      <c r="K13" s="1494">
        <v>12173.9130434783</v>
      </c>
      <c r="L13" s="1494">
        <v>12173.9130434783</v>
      </c>
      <c r="M13" s="1494">
        <v>12173.9130434783</v>
      </c>
      <c r="N13" s="1494">
        <v>12173.9130434783</v>
      </c>
      <c r="O13" s="1494">
        <v>12173.9130434783</v>
      </c>
      <c r="P13" s="1494">
        <v>12173.9130434783</v>
      </c>
      <c r="Q13" s="1494">
        <v>12173.9130434783</v>
      </c>
      <c r="R13" s="1494">
        <v>12173.9130434783</v>
      </c>
      <c r="S13" s="1494">
        <v>12173.9130434783</v>
      </c>
      <c r="T13" s="1494">
        <v>12173.9130434783</v>
      </c>
      <c r="U13" s="1494">
        <v>12173.9130434783</v>
      </c>
      <c r="V13" s="1494">
        <v>12173.9130434783</v>
      </c>
      <c r="W13" s="1494">
        <v>12173.9130434783</v>
      </c>
      <c r="X13" s="1494">
        <v>12173.9130434783</v>
      </c>
      <c r="Y13" s="1494">
        <v>12173.9130434783</v>
      </c>
      <c r="Z13" s="1494">
        <v>12173.9130434783</v>
      </c>
      <c r="AA13" s="1494">
        <v>12173.9130434783</v>
      </c>
      <c r="AB13" s="1494">
        <v>12173.9130434783</v>
      </c>
      <c r="AC13" s="1494">
        <v>12173.9130434783</v>
      </c>
      <c r="AD13" s="1494">
        <v>12173.9130434783</v>
      </c>
      <c r="AE13" s="1494">
        <v>12173.9130434783</v>
      </c>
      <c r="AF13" s="1494">
        <v>12173.9130434783</v>
      </c>
      <c r="AG13" s="1494">
        <v>12173.9130434783</v>
      </c>
      <c r="AH13" s="1494">
        <v>12173.9130434783</v>
      </c>
      <c r="AI13" s="1494">
        <v>12173.9130434783</v>
      </c>
      <c r="AJ13" s="1494">
        <v>12173.9130434783</v>
      </c>
      <c r="AK13" s="1494">
        <v>12173.9130434783</v>
      </c>
      <c r="AL13" s="1494">
        <v>12173.9130434783</v>
      </c>
      <c r="AM13" s="1494">
        <v>12173.9130434783</v>
      </c>
      <c r="AN13" s="1494">
        <v>12173.9130434783</v>
      </c>
      <c r="AO13" s="1494">
        <v>12173.9130434783</v>
      </c>
      <c r="AP13" s="1494">
        <v>12173.9130434783</v>
      </c>
      <c r="AQ13" s="1494">
        <v>12173.9130434783</v>
      </c>
      <c r="AR13" s="1494">
        <v>12173.9130434783</v>
      </c>
      <c r="AS13" s="1494">
        <v>12173.9130434783</v>
      </c>
    </row>
    <row r="14" spans="1:45">
      <c r="A14" s="1491"/>
      <c r="B14" s="1492" t="s">
        <v>324</v>
      </c>
      <c r="C14" s="1492">
        <v>113947.826086957</v>
      </c>
      <c r="D14" s="1492">
        <v>0</v>
      </c>
      <c r="E14" s="1492">
        <v>0</v>
      </c>
      <c r="F14" s="1492">
        <v>0</v>
      </c>
      <c r="G14" s="1492">
        <v>0</v>
      </c>
      <c r="H14" s="1492">
        <v>0</v>
      </c>
      <c r="I14" s="1492">
        <v>0</v>
      </c>
      <c r="J14" s="1492">
        <v>0</v>
      </c>
      <c r="K14" s="1492">
        <v>0</v>
      </c>
      <c r="L14" s="1492">
        <v>0</v>
      </c>
      <c r="M14" s="1492">
        <v>0</v>
      </c>
      <c r="N14" s="1492">
        <v>0</v>
      </c>
      <c r="O14" s="1492">
        <v>0</v>
      </c>
      <c r="P14" s="1492">
        <v>0</v>
      </c>
      <c r="Q14" s="1492">
        <v>28486.9565217391</v>
      </c>
      <c r="R14" s="1492">
        <v>28486.9565217391</v>
      </c>
      <c r="S14" s="1492">
        <v>28486.9565217391</v>
      </c>
      <c r="T14" s="1492">
        <v>28486.9565217391</v>
      </c>
      <c r="U14" s="1492">
        <v>0</v>
      </c>
      <c r="V14" s="1492">
        <v>0</v>
      </c>
      <c r="W14" s="1492">
        <v>0</v>
      </c>
      <c r="X14" s="1492">
        <v>0</v>
      </c>
      <c r="Y14" s="1492">
        <v>0</v>
      </c>
      <c r="Z14" s="1492">
        <v>0</v>
      </c>
      <c r="AA14" s="1492">
        <v>0</v>
      </c>
      <c r="AB14" s="1492">
        <v>0</v>
      </c>
      <c r="AC14" s="1492">
        <v>0</v>
      </c>
      <c r="AD14" s="1492">
        <v>0</v>
      </c>
      <c r="AE14" s="1492">
        <v>0</v>
      </c>
      <c r="AF14" s="1492">
        <v>0</v>
      </c>
      <c r="AG14" s="1492">
        <v>0</v>
      </c>
      <c r="AH14" s="1492">
        <v>0</v>
      </c>
      <c r="AI14" s="1492">
        <v>0</v>
      </c>
      <c r="AJ14" s="1492">
        <v>0</v>
      </c>
      <c r="AK14" s="1492">
        <v>0</v>
      </c>
      <c r="AL14" s="1492">
        <v>0</v>
      </c>
      <c r="AM14" s="1492">
        <v>0</v>
      </c>
      <c r="AN14" s="1492">
        <v>0</v>
      </c>
      <c r="AO14" s="1492">
        <v>0</v>
      </c>
      <c r="AP14" s="1492">
        <v>0</v>
      </c>
      <c r="AQ14" s="1492">
        <v>0</v>
      </c>
      <c r="AR14" s="1492">
        <v>0</v>
      </c>
      <c r="AS14" s="1492">
        <v>0</v>
      </c>
    </row>
    <row r="15" s="1480" customFormat="1" spans="1:45">
      <c r="A15" s="1488" t="s">
        <v>63</v>
      </c>
      <c r="B15" s="1489" t="s">
        <v>234</v>
      </c>
      <c r="C15" s="1564">
        <v>0</v>
      </c>
      <c r="D15" s="1494"/>
      <c r="E15" s="1494"/>
      <c r="F15" s="1494"/>
      <c r="G15" s="1494"/>
      <c r="H15" s="1494"/>
      <c r="I15" s="1494"/>
      <c r="J15" s="1494"/>
      <c r="K15" s="1494"/>
      <c r="L15" s="1494"/>
      <c r="M15" s="1494"/>
      <c r="N15" s="1494"/>
      <c r="O15" s="1494"/>
      <c r="P15" s="1494"/>
      <c r="Q15" s="1494"/>
      <c r="R15" s="1494"/>
      <c r="S15" s="1494"/>
      <c r="T15" s="1494"/>
      <c r="U15" s="1494"/>
      <c r="V15" s="1494"/>
      <c r="W15" s="1494"/>
      <c r="X15" s="1494">
        <v>0</v>
      </c>
      <c r="Y15" s="1494"/>
      <c r="Z15" s="1494"/>
      <c r="AA15" s="1494"/>
      <c r="AB15" s="1565"/>
      <c r="AC15" s="1565"/>
      <c r="AD15" s="1565"/>
      <c r="AE15" s="1565"/>
      <c r="AF15" s="1565"/>
      <c r="AG15" s="1565"/>
      <c r="AH15" s="1565"/>
      <c r="AI15" s="1565"/>
      <c r="AJ15" s="1565"/>
      <c r="AK15" s="1565"/>
      <c r="AL15" s="1565"/>
      <c r="AM15" s="1565"/>
      <c r="AN15" s="1565"/>
      <c r="AO15" s="1565"/>
      <c r="AP15" s="1565"/>
      <c r="AQ15" s="1565"/>
      <c r="AR15" s="1565"/>
      <c r="AS15" s="1565"/>
    </row>
    <row r="16" s="1480" customFormat="1" spans="1:45">
      <c r="A16" s="1488"/>
      <c r="B16" s="1489" t="s">
        <v>323</v>
      </c>
      <c r="C16" s="1564">
        <v>0</v>
      </c>
      <c r="D16" s="1494"/>
      <c r="E16" s="1494"/>
      <c r="F16" s="1564"/>
      <c r="G16" s="1564"/>
      <c r="H16" s="1494"/>
      <c r="I16" s="1494">
        <v>12000</v>
      </c>
      <c r="J16" s="1494">
        <v>12000</v>
      </c>
      <c r="K16" s="1494">
        <v>12000</v>
      </c>
      <c r="L16" s="1494">
        <v>12000</v>
      </c>
      <c r="M16" s="1494">
        <v>12000</v>
      </c>
      <c r="N16" s="1494">
        <v>12000</v>
      </c>
      <c r="O16" s="1494">
        <v>12000</v>
      </c>
      <c r="P16" s="1494">
        <v>12000</v>
      </c>
      <c r="Q16" s="1494">
        <v>12000</v>
      </c>
      <c r="R16" s="1494">
        <v>12000</v>
      </c>
      <c r="S16" s="1494">
        <v>12000</v>
      </c>
      <c r="T16" s="1494">
        <v>12000</v>
      </c>
      <c r="U16" s="1494">
        <v>12000</v>
      </c>
      <c r="V16" s="1494">
        <v>12000</v>
      </c>
      <c r="W16" s="1494">
        <v>12000</v>
      </c>
      <c r="X16" s="1494">
        <v>12000</v>
      </c>
      <c r="Y16" s="1494">
        <v>12000</v>
      </c>
      <c r="Z16" s="1494">
        <v>12000</v>
      </c>
      <c r="AA16" s="1494">
        <v>12000</v>
      </c>
      <c r="AB16" s="1494">
        <v>12000</v>
      </c>
      <c r="AC16" s="1494">
        <v>12000</v>
      </c>
      <c r="AD16" s="1494">
        <v>12000</v>
      </c>
      <c r="AE16" s="1494">
        <v>12000</v>
      </c>
      <c r="AF16" s="1494">
        <v>12000</v>
      </c>
      <c r="AG16" s="1494">
        <v>12000</v>
      </c>
      <c r="AH16" s="1494">
        <v>12000</v>
      </c>
      <c r="AI16" s="1494">
        <v>12000</v>
      </c>
      <c r="AJ16" s="1494">
        <v>12000</v>
      </c>
      <c r="AK16" s="1494">
        <v>12000</v>
      </c>
      <c r="AL16" s="1494">
        <v>12000</v>
      </c>
      <c r="AM16" s="1494">
        <v>12000</v>
      </c>
      <c r="AN16" s="1494">
        <v>12000</v>
      </c>
      <c r="AO16" s="1494">
        <v>12000</v>
      </c>
      <c r="AP16" s="1494">
        <v>12000</v>
      </c>
      <c r="AQ16" s="1494">
        <v>12000</v>
      </c>
      <c r="AR16" s="1494">
        <v>12000</v>
      </c>
      <c r="AS16" s="1494">
        <v>12000</v>
      </c>
    </row>
    <row r="17" spans="1:45">
      <c r="A17" s="1491"/>
      <c r="B17" s="1492" t="s">
        <v>324</v>
      </c>
      <c r="C17" s="1492">
        <v>0</v>
      </c>
      <c r="D17" s="1492">
        <v>0</v>
      </c>
      <c r="E17" s="1492">
        <v>0</v>
      </c>
      <c r="F17" s="1492">
        <v>0</v>
      </c>
      <c r="G17" s="1492">
        <v>0</v>
      </c>
      <c r="H17" s="1492">
        <v>0</v>
      </c>
      <c r="I17" s="1492">
        <v>0</v>
      </c>
      <c r="J17" s="1492">
        <v>0</v>
      </c>
      <c r="K17" s="1492">
        <v>0</v>
      </c>
      <c r="L17" s="1492">
        <v>0</v>
      </c>
      <c r="M17" s="1492">
        <v>0</v>
      </c>
      <c r="N17" s="1492">
        <v>0</v>
      </c>
      <c r="O17" s="1492">
        <v>0</v>
      </c>
      <c r="P17" s="1492">
        <v>0</v>
      </c>
      <c r="Q17" s="1492">
        <v>0</v>
      </c>
      <c r="R17" s="1492">
        <v>0</v>
      </c>
      <c r="S17" s="1492">
        <v>0</v>
      </c>
      <c r="T17" s="1492">
        <v>0</v>
      </c>
      <c r="U17" s="1492">
        <v>0</v>
      </c>
      <c r="V17" s="1492">
        <v>0</v>
      </c>
      <c r="W17" s="1492">
        <v>0</v>
      </c>
      <c r="X17" s="1492">
        <v>0</v>
      </c>
      <c r="Y17" s="1492">
        <v>0</v>
      </c>
      <c r="Z17" s="1492">
        <v>0</v>
      </c>
      <c r="AA17" s="1492">
        <v>0</v>
      </c>
      <c r="AB17" s="1492">
        <v>0</v>
      </c>
      <c r="AC17" s="1492">
        <v>0</v>
      </c>
      <c r="AD17" s="1492">
        <v>0</v>
      </c>
      <c r="AE17" s="1492">
        <v>0</v>
      </c>
      <c r="AF17" s="1492">
        <v>0</v>
      </c>
      <c r="AG17" s="1492">
        <v>0</v>
      </c>
      <c r="AH17" s="1492">
        <v>0</v>
      </c>
      <c r="AI17" s="1492">
        <v>0</v>
      </c>
      <c r="AJ17" s="1492">
        <v>0</v>
      </c>
      <c r="AK17" s="1492">
        <v>0</v>
      </c>
      <c r="AL17" s="1492">
        <v>0</v>
      </c>
      <c r="AM17" s="1492">
        <v>0</v>
      </c>
      <c r="AN17" s="1492">
        <v>0</v>
      </c>
      <c r="AO17" s="1492">
        <v>0</v>
      </c>
      <c r="AP17" s="1492">
        <v>0</v>
      </c>
      <c r="AQ17" s="1492">
        <v>0</v>
      </c>
      <c r="AR17" s="1492">
        <v>0</v>
      </c>
      <c r="AS17" s="1492">
        <v>0</v>
      </c>
    </row>
    <row r="18" s="1480" customFormat="1" spans="1:45">
      <c r="A18" s="1488" t="s">
        <v>245</v>
      </c>
      <c r="B18" s="1489" t="s">
        <v>234</v>
      </c>
      <c r="C18" s="1564">
        <v>0</v>
      </c>
      <c r="D18" s="1494"/>
      <c r="E18" s="1494"/>
      <c r="F18" s="1494"/>
      <c r="G18" s="1494"/>
      <c r="H18" s="1494"/>
      <c r="I18" s="1494">
        <v>0</v>
      </c>
      <c r="J18" s="1494">
        <v>0</v>
      </c>
      <c r="K18" s="1494">
        <v>0</v>
      </c>
      <c r="L18" s="1494"/>
      <c r="M18" s="1494"/>
      <c r="N18" s="1494"/>
      <c r="O18" s="1494"/>
      <c r="P18" s="1494"/>
      <c r="Q18" s="1494"/>
      <c r="R18" s="1494"/>
      <c r="S18" s="1494"/>
      <c r="T18" s="1565"/>
      <c r="U18" s="1565"/>
      <c r="V18" s="1565"/>
      <c r="W18" s="1565"/>
      <c r="X18" s="1565"/>
      <c r="Y18" s="1565"/>
      <c r="Z18" s="1565"/>
      <c r="AA18" s="1565"/>
      <c r="AB18" s="1565"/>
      <c r="AC18" s="1565"/>
      <c r="AD18" s="1565"/>
      <c r="AE18" s="1565"/>
      <c r="AF18" s="1565"/>
      <c r="AG18" s="1565"/>
      <c r="AH18" s="1565"/>
      <c r="AI18" s="1565"/>
      <c r="AJ18" s="1565"/>
      <c r="AK18" s="1565"/>
      <c r="AL18" s="1565"/>
      <c r="AM18" s="1565"/>
      <c r="AN18" s="1565"/>
      <c r="AO18" s="1565"/>
      <c r="AP18" s="1565"/>
      <c r="AQ18" s="1565"/>
      <c r="AR18" s="1565"/>
      <c r="AS18" s="1565"/>
    </row>
    <row r="19" s="1480" customFormat="1" spans="1:45">
      <c r="A19" s="1488"/>
      <c r="B19" s="1489" t="s">
        <v>323</v>
      </c>
      <c r="C19" s="1564">
        <v>0</v>
      </c>
      <c r="D19" s="1494"/>
      <c r="E19" s="1494"/>
      <c r="F19" s="1564"/>
      <c r="G19" s="1564"/>
      <c r="H19" s="1494"/>
      <c r="I19" s="1494">
        <v>0</v>
      </c>
      <c r="J19" s="1494">
        <v>0</v>
      </c>
      <c r="K19" s="1494">
        <v>0</v>
      </c>
      <c r="L19" s="1494">
        <v>0</v>
      </c>
      <c r="M19" s="1494">
        <v>0</v>
      </c>
      <c r="N19" s="1494">
        <v>0</v>
      </c>
      <c r="O19" s="1494">
        <v>0</v>
      </c>
      <c r="P19" s="1494">
        <v>0</v>
      </c>
      <c r="Q19" s="1494">
        <v>0</v>
      </c>
      <c r="R19" s="1494">
        <v>0</v>
      </c>
      <c r="S19" s="1494">
        <v>0</v>
      </c>
      <c r="T19" s="1494">
        <v>0</v>
      </c>
      <c r="U19" s="1494">
        <v>0</v>
      </c>
      <c r="V19" s="1494">
        <v>0</v>
      </c>
      <c r="W19" s="1494">
        <v>0</v>
      </c>
      <c r="X19" s="1494">
        <v>0</v>
      </c>
      <c r="Y19" s="1494">
        <v>0</v>
      </c>
      <c r="Z19" s="1494">
        <v>0</v>
      </c>
      <c r="AA19" s="1494">
        <v>0</v>
      </c>
      <c r="AB19" s="1494">
        <v>0</v>
      </c>
      <c r="AC19" s="1494">
        <v>0</v>
      </c>
      <c r="AD19" s="1494">
        <v>0</v>
      </c>
      <c r="AE19" s="1494">
        <v>0</v>
      </c>
      <c r="AF19" s="1494">
        <v>0</v>
      </c>
      <c r="AG19" s="1494">
        <v>0</v>
      </c>
      <c r="AH19" s="1494">
        <v>0</v>
      </c>
      <c r="AI19" s="1494">
        <v>0</v>
      </c>
      <c r="AJ19" s="1494">
        <v>0</v>
      </c>
      <c r="AK19" s="1494">
        <v>0</v>
      </c>
      <c r="AL19" s="1494">
        <v>0</v>
      </c>
      <c r="AM19" s="1494">
        <v>0</v>
      </c>
      <c r="AN19" s="1494">
        <v>0</v>
      </c>
      <c r="AO19" s="1494">
        <v>0</v>
      </c>
      <c r="AP19" s="1494">
        <v>0</v>
      </c>
      <c r="AQ19" s="1494">
        <v>0</v>
      </c>
      <c r="AR19" s="1494">
        <v>0</v>
      </c>
      <c r="AS19" s="1494">
        <v>0</v>
      </c>
    </row>
    <row r="20" spans="1:45">
      <c r="A20" s="1491"/>
      <c r="B20" s="1492" t="s">
        <v>324</v>
      </c>
      <c r="C20" s="1492">
        <v>0</v>
      </c>
      <c r="D20" s="1492">
        <v>0</v>
      </c>
      <c r="E20" s="1492">
        <v>0</v>
      </c>
      <c r="F20" s="1492">
        <v>0</v>
      </c>
      <c r="G20" s="1492">
        <v>0</v>
      </c>
      <c r="H20" s="1492">
        <v>0</v>
      </c>
      <c r="I20" s="1492">
        <v>0</v>
      </c>
      <c r="J20" s="1492">
        <v>0</v>
      </c>
      <c r="K20" s="1492">
        <v>0</v>
      </c>
      <c r="L20" s="1492">
        <v>0</v>
      </c>
      <c r="M20" s="1492">
        <v>0</v>
      </c>
      <c r="N20" s="1492">
        <v>0</v>
      </c>
      <c r="O20" s="1492">
        <v>0</v>
      </c>
      <c r="P20" s="1492">
        <v>0</v>
      </c>
      <c r="Q20" s="1492">
        <v>0</v>
      </c>
      <c r="R20" s="1492">
        <v>0</v>
      </c>
      <c r="S20" s="1492">
        <v>0</v>
      </c>
      <c r="T20" s="1492">
        <v>0</v>
      </c>
      <c r="U20" s="1492">
        <v>0</v>
      </c>
      <c r="V20" s="1492">
        <v>0</v>
      </c>
      <c r="W20" s="1492">
        <v>0</v>
      </c>
      <c r="X20" s="1492">
        <v>0</v>
      </c>
      <c r="Y20" s="1492">
        <v>0</v>
      </c>
      <c r="Z20" s="1492">
        <v>0</v>
      </c>
      <c r="AA20" s="1492">
        <v>0</v>
      </c>
      <c r="AB20" s="1492">
        <v>0</v>
      </c>
      <c r="AC20" s="1492">
        <v>0</v>
      </c>
      <c r="AD20" s="1492">
        <v>0</v>
      </c>
      <c r="AE20" s="1492">
        <v>0</v>
      </c>
      <c r="AF20" s="1492">
        <v>0</v>
      </c>
      <c r="AG20" s="1492">
        <v>0</v>
      </c>
      <c r="AH20" s="1492">
        <v>0</v>
      </c>
      <c r="AI20" s="1492">
        <v>0</v>
      </c>
      <c r="AJ20" s="1492">
        <v>0</v>
      </c>
      <c r="AK20" s="1492">
        <v>0</v>
      </c>
      <c r="AL20" s="1492">
        <v>0</v>
      </c>
      <c r="AM20" s="1492">
        <v>0</v>
      </c>
      <c r="AN20" s="1492">
        <v>0</v>
      </c>
      <c r="AO20" s="1492">
        <v>0</v>
      </c>
      <c r="AP20" s="1492">
        <v>0</v>
      </c>
      <c r="AQ20" s="1492">
        <v>0</v>
      </c>
      <c r="AR20" s="1492">
        <v>0</v>
      </c>
      <c r="AS20" s="1492">
        <v>0</v>
      </c>
    </row>
    <row r="21" s="1480" customFormat="1" spans="1:45">
      <c r="A21" s="1488" t="s">
        <v>199</v>
      </c>
      <c r="B21" s="1489" t="s">
        <v>234</v>
      </c>
      <c r="C21" s="1564">
        <v>0</v>
      </c>
      <c r="D21" s="1494"/>
      <c r="E21" s="1494"/>
      <c r="F21" s="1494"/>
      <c r="G21" s="1494"/>
      <c r="H21" s="1494"/>
      <c r="I21" s="1494"/>
      <c r="J21" s="1494"/>
      <c r="K21" s="1494"/>
      <c r="L21" s="1494"/>
      <c r="M21" s="1494"/>
      <c r="N21" s="1494"/>
      <c r="O21" s="1494"/>
      <c r="P21" s="1494"/>
      <c r="Q21" s="1494"/>
      <c r="R21" s="1494"/>
      <c r="S21" s="1494">
        <v>0</v>
      </c>
      <c r="T21" s="1565"/>
      <c r="U21" s="1565"/>
      <c r="V21" s="1565"/>
      <c r="W21" s="1565"/>
      <c r="X21" s="1565"/>
      <c r="Y21" s="1565"/>
      <c r="Z21" s="1565"/>
      <c r="AA21" s="1565"/>
      <c r="AB21" s="1565"/>
      <c r="AC21" s="1565"/>
      <c r="AD21" s="1565"/>
      <c r="AE21" s="1565"/>
      <c r="AF21" s="1565"/>
      <c r="AG21" s="1565"/>
      <c r="AH21" s="1565"/>
      <c r="AI21" s="1565"/>
      <c r="AJ21" s="1565"/>
      <c r="AK21" s="1565"/>
      <c r="AL21" s="1565"/>
      <c r="AM21" s="1565"/>
      <c r="AN21" s="1565"/>
      <c r="AO21" s="1565"/>
      <c r="AP21" s="1565"/>
      <c r="AQ21" s="1565"/>
      <c r="AR21" s="1565"/>
      <c r="AS21" s="1565"/>
    </row>
    <row r="22" s="1480" customFormat="1" spans="1:45">
      <c r="A22" s="1488"/>
      <c r="B22" s="1489" t="s">
        <v>323</v>
      </c>
      <c r="C22" s="1564">
        <v>0</v>
      </c>
      <c r="D22" s="1494"/>
      <c r="E22" s="1494">
        <v>0</v>
      </c>
      <c r="F22" s="1494">
        <v>0</v>
      </c>
      <c r="G22" s="1494">
        <v>0</v>
      </c>
      <c r="H22" s="1494">
        <v>0</v>
      </c>
      <c r="I22" s="1494">
        <v>20000</v>
      </c>
      <c r="J22" s="1494">
        <v>20000</v>
      </c>
      <c r="K22" s="1494">
        <v>20000</v>
      </c>
      <c r="L22" s="1494">
        <v>20000</v>
      </c>
      <c r="M22" s="1494">
        <v>20000</v>
      </c>
      <c r="N22" s="1494">
        <v>20000</v>
      </c>
      <c r="O22" s="1494">
        <v>20000</v>
      </c>
      <c r="P22" s="1494">
        <v>20000</v>
      </c>
      <c r="Q22" s="1494">
        <v>20000</v>
      </c>
      <c r="R22" s="1494">
        <v>20000</v>
      </c>
      <c r="S22" s="1494">
        <v>20000</v>
      </c>
      <c r="T22" s="1494">
        <v>20000</v>
      </c>
      <c r="U22" s="1494">
        <v>20000</v>
      </c>
      <c r="V22" s="1494">
        <v>20000</v>
      </c>
      <c r="W22" s="1494">
        <v>20000</v>
      </c>
      <c r="X22" s="1494">
        <v>20000</v>
      </c>
      <c r="Y22" s="1494">
        <v>20000</v>
      </c>
      <c r="Z22" s="1494">
        <v>20000</v>
      </c>
      <c r="AA22" s="1494">
        <v>20000</v>
      </c>
      <c r="AB22" s="1494">
        <v>20000</v>
      </c>
      <c r="AC22" s="1494">
        <v>20000</v>
      </c>
      <c r="AD22" s="1494">
        <v>20000</v>
      </c>
      <c r="AE22" s="1494">
        <v>20000</v>
      </c>
      <c r="AF22" s="1494">
        <v>20000</v>
      </c>
      <c r="AG22" s="1494">
        <v>20000</v>
      </c>
      <c r="AH22" s="1494">
        <v>20000</v>
      </c>
      <c r="AI22" s="1494">
        <v>20000</v>
      </c>
      <c r="AJ22" s="1494">
        <v>20000</v>
      </c>
      <c r="AK22" s="1494">
        <v>20000</v>
      </c>
      <c r="AL22" s="1494">
        <v>20000</v>
      </c>
      <c r="AM22" s="1494">
        <v>20000</v>
      </c>
      <c r="AN22" s="1494">
        <v>20000</v>
      </c>
      <c r="AO22" s="1494">
        <v>20000</v>
      </c>
      <c r="AP22" s="1494">
        <v>20000</v>
      </c>
      <c r="AQ22" s="1494">
        <v>20000</v>
      </c>
      <c r="AR22" s="1494">
        <v>20000</v>
      </c>
      <c r="AS22" s="1494">
        <v>20000</v>
      </c>
    </row>
    <row r="23" spans="1:45">
      <c r="A23" s="1491"/>
      <c r="B23" s="1492" t="s">
        <v>324</v>
      </c>
      <c r="C23" s="1492">
        <v>0</v>
      </c>
      <c r="D23" s="1492">
        <v>0</v>
      </c>
      <c r="E23" s="1492">
        <v>0</v>
      </c>
      <c r="F23" s="1492">
        <v>0</v>
      </c>
      <c r="G23" s="1492">
        <v>0</v>
      </c>
      <c r="H23" s="1492">
        <v>0</v>
      </c>
      <c r="I23" s="1492">
        <v>0</v>
      </c>
      <c r="J23" s="1492">
        <v>0</v>
      </c>
      <c r="K23" s="1492">
        <v>0</v>
      </c>
      <c r="L23" s="1492">
        <v>0</v>
      </c>
      <c r="M23" s="1492">
        <v>0</v>
      </c>
      <c r="N23" s="1492">
        <v>0</v>
      </c>
      <c r="O23" s="1492">
        <v>0</v>
      </c>
      <c r="P23" s="1492">
        <v>0</v>
      </c>
      <c r="Q23" s="1492">
        <v>0</v>
      </c>
      <c r="R23" s="1492">
        <v>0</v>
      </c>
      <c r="S23" s="1492">
        <v>0</v>
      </c>
      <c r="T23" s="1492">
        <v>0</v>
      </c>
      <c r="U23" s="1492">
        <v>0</v>
      </c>
      <c r="V23" s="1492">
        <v>0</v>
      </c>
      <c r="W23" s="1492">
        <v>0</v>
      </c>
      <c r="X23" s="1492">
        <v>0</v>
      </c>
      <c r="Y23" s="1492">
        <v>0</v>
      </c>
      <c r="Z23" s="1492">
        <v>0</v>
      </c>
      <c r="AA23" s="1492">
        <v>0</v>
      </c>
      <c r="AB23" s="1492">
        <v>0</v>
      </c>
      <c r="AC23" s="1492">
        <v>0</v>
      </c>
      <c r="AD23" s="1492">
        <v>0</v>
      </c>
      <c r="AE23" s="1492">
        <v>0</v>
      </c>
      <c r="AF23" s="1492">
        <v>0</v>
      </c>
      <c r="AG23" s="1492">
        <v>0</v>
      </c>
      <c r="AH23" s="1492">
        <v>0</v>
      </c>
      <c r="AI23" s="1492">
        <v>0</v>
      </c>
      <c r="AJ23" s="1492">
        <v>0</v>
      </c>
      <c r="AK23" s="1492">
        <v>0</v>
      </c>
      <c r="AL23" s="1492">
        <v>0</v>
      </c>
      <c r="AM23" s="1492">
        <v>0</v>
      </c>
      <c r="AN23" s="1492">
        <v>0</v>
      </c>
      <c r="AO23" s="1492">
        <v>0</v>
      </c>
      <c r="AP23" s="1492">
        <v>0</v>
      </c>
      <c r="AQ23" s="1492">
        <v>0</v>
      </c>
      <c r="AR23" s="1492">
        <v>0</v>
      </c>
      <c r="AS23" s="1492">
        <v>0</v>
      </c>
    </row>
    <row r="24" spans="1:45">
      <c r="A24" s="1487" t="s">
        <v>52</v>
      </c>
      <c r="B24" s="1484" t="s">
        <v>234</v>
      </c>
      <c r="C24" s="1483">
        <v>97176.7411933811</v>
      </c>
      <c r="D24" s="1483">
        <v>0</v>
      </c>
      <c r="E24" s="1483">
        <v>0</v>
      </c>
      <c r="F24" s="1483">
        <v>0</v>
      </c>
      <c r="G24" s="1483">
        <v>0</v>
      </c>
      <c r="H24" s="1483">
        <v>0</v>
      </c>
      <c r="I24" s="1483">
        <v>0</v>
      </c>
      <c r="J24" s="1483">
        <v>0</v>
      </c>
      <c r="K24" s="1483">
        <v>0</v>
      </c>
      <c r="L24" s="1483">
        <v>0</v>
      </c>
      <c r="M24" s="1483">
        <v>0</v>
      </c>
      <c r="N24" s="1483">
        <v>0</v>
      </c>
      <c r="O24" s="1483">
        <v>0</v>
      </c>
      <c r="P24" s="1483">
        <v>0</v>
      </c>
      <c r="Q24" s="1483">
        <v>0</v>
      </c>
      <c r="R24" s="1483">
        <v>0</v>
      </c>
      <c r="S24" s="1483">
        <v>0</v>
      </c>
      <c r="T24" s="1483">
        <v>0</v>
      </c>
      <c r="U24" s="1483">
        <v>23544.1852983453</v>
      </c>
      <c r="V24" s="1483">
        <v>23544.1852983453</v>
      </c>
      <c r="W24" s="1483">
        <v>23544.1852983453</v>
      </c>
      <c r="X24" s="1483">
        <v>26544.1852983453</v>
      </c>
      <c r="Y24" s="1483">
        <v>0</v>
      </c>
      <c r="Z24" s="1483">
        <v>0</v>
      </c>
      <c r="AA24" s="1483">
        <v>0</v>
      </c>
      <c r="AB24" s="1483">
        <v>0</v>
      </c>
      <c r="AC24" s="1483">
        <v>0</v>
      </c>
      <c r="AD24" s="1483">
        <v>0</v>
      </c>
      <c r="AE24" s="1483">
        <v>0</v>
      </c>
      <c r="AF24" s="1483">
        <v>0</v>
      </c>
      <c r="AG24" s="1483">
        <v>0</v>
      </c>
      <c r="AH24" s="1483">
        <v>0</v>
      </c>
      <c r="AI24" s="1483">
        <v>0</v>
      </c>
      <c r="AJ24" s="1483">
        <v>0</v>
      </c>
      <c r="AK24" s="1483">
        <v>0</v>
      </c>
      <c r="AL24" s="1483">
        <v>0</v>
      </c>
      <c r="AM24" s="1483">
        <v>0</v>
      </c>
      <c r="AN24" s="1483">
        <v>0</v>
      </c>
      <c r="AO24" s="1483">
        <v>0</v>
      </c>
      <c r="AP24" s="1483">
        <v>0</v>
      </c>
      <c r="AQ24" s="1483">
        <v>0</v>
      </c>
      <c r="AR24" s="1483">
        <v>0</v>
      </c>
      <c r="AS24" s="1483">
        <v>0</v>
      </c>
    </row>
    <row r="25" spans="1:45">
      <c r="A25" s="1487"/>
      <c r="B25" s="1484" t="s">
        <v>323</v>
      </c>
      <c r="C25" s="1483">
        <v>12699.3632150785</v>
      </c>
      <c r="D25" s="1483">
        <v>0</v>
      </c>
      <c r="E25" s="1483">
        <v>0</v>
      </c>
      <c r="F25" s="1483">
        <v>0</v>
      </c>
      <c r="G25" s="1483">
        <v>0</v>
      </c>
      <c r="H25" s="1483">
        <v>0</v>
      </c>
      <c r="I25" s="1483">
        <v>0</v>
      </c>
      <c r="J25" s="1483">
        <v>0</v>
      </c>
      <c r="K25" s="1483">
        <v>0</v>
      </c>
      <c r="L25" s="1483">
        <v>0</v>
      </c>
      <c r="M25" s="1483">
        <v>0</v>
      </c>
      <c r="N25" s="1483">
        <v>0</v>
      </c>
      <c r="O25" s="1483">
        <v>0</v>
      </c>
      <c r="P25" s="1483">
        <v>0</v>
      </c>
      <c r="Q25" s="1483">
        <v>0</v>
      </c>
      <c r="R25" s="1483">
        <v>0</v>
      </c>
      <c r="S25" s="1483">
        <v>0</v>
      </c>
      <c r="T25" s="1483">
        <v>0</v>
      </c>
      <c r="U25" s="1483">
        <v>12466.8014373272</v>
      </c>
      <c r="V25" s="1483">
        <v>12466.8014373272</v>
      </c>
      <c r="W25" s="1483">
        <v>12466.8014373272</v>
      </c>
      <c r="X25" s="1483">
        <v>13318.1967781149</v>
      </c>
      <c r="Y25" s="1483">
        <v>0</v>
      </c>
      <c r="Z25" s="1483">
        <v>0</v>
      </c>
      <c r="AA25" s="1483">
        <v>0</v>
      </c>
      <c r="AB25" s="1483">
        <v>0</v>
      </c>
      <c r="AC25" s="1483">
        <v>0</v>
      </c>
      <c r="AD25" s="1483">
        <v>0</v>
      </c>
      <c r="AE25" s="1483">
        <v>0</v>
      </c>
      <c r="AF25" s="1483">
        <v>0</v>
      </c>
      <c r="AG25" s="1483">
        <v>0</v>
      </c>
      <c r="AH25" s="1483">
        <v>0</v>
      </c>
      <c r="AI25" s="1483">
        <v>0</v>
      </c>
      <c r="AJ25" s="1483">
        <v>0</v>
      </c>
      <c r="AK25" s="1483">
        <v>0</v>
      </c>
      <c r="AL25" s="1483">
        <v>0</v>
      </c>
      <c r="AM25" s="1483">
        <v>0</v>
      </c>
      <c r="AN25" s="1483">
        <v>0</v>
      </c>
      <c r="AO25" s="1483">
        <v>0</v>
      </c>
      <c r="AP25" s="1483">
        <v>0</v>
      </c>
      <c r="AQ25" s="1483">
        <v>0</v>
      </c>
      <c r="AR25" s="1483">
        <v>0</v>
      </c>
      <c r="AS25" s="1483">
        <v>0</v>
      </c>
    </row>
    <row r="26" spans="1:45">
      <c r="A26" s="1487"/>
      <c r="B26" s="1484" t="s">
        <v>324</v>
      </c>
      <c r="C26" s="1483">
        <v>123408.273247243</v>
      </c>
      <c r="D26" s="1483">
        <v>0</v>
      </c>
      <c r="E26" s="1483">
        <v>0</v>
      </c>
      <c r="F26" s="1483">
        <v>0</v>
      </c>
      <c r="G26" s="1483">
        <v>0</v>
      </c>
      <c r="H26" s="1483">
        <v>0</v>
      </c>
      <c r="I26" s="1483">
        <v>0</v>
      </c>
      <c r="J26" s="1483">
        <v>0</v>
      </c>
      <c r="K26" s="1483">
        <v>0</v>
      </c>
      <c r="L26" s="1483">
        <v>0</v>
      </c>
      <c r="M26" s="1483">
        <v>0</v>
      </c>
      <c r="N26" s="1483">
        <v>0</v>
      </c>
      <c r="O26" s="1483">
        <v>0</v>
      </c>
      <c r="P26" s="1483">
        <v>0</v>
      </c>
      <c r="Q26" s="1483">
        <v>0</v>
      </c>
      <c r="R26" s="1483">
        <v>0</v>
      </c>
      <c r="S26" s="1483">
        <v>0</v>
      </c>
      <c r="T26" s="1483">
        <v>0</v>
      </c>
      <c r="U26" s="1483">
        <v>29352.0683118108</v>
      </c>
      <c r="V26" s="1483">
        <v>29352.0683118108</v>
      </c>
      <c r="W26" s="1483">
        <v>29352.0683118108</v>
      </c>
      <c r="X26" s="1483">
        <v>35352.0683118108</v>
      </c>
      <c r="Y26" s="1483">
        <v>0</v>
      </c>
      <c r="Z26" s="1483">
        <v>0</v>
      </c>
      <c r="AA26" s="1483">
        <v>0</v>
      </c>
      <c r="AB26" s="1483">
        <v>0</v>
      </c>
      <c r="AC26" s="1483">
        <v>0</v>
      </c>
      <c r="AD26" s="1483">
        <v>0</v>
      </c>
      <c r="AE26" s="1483">
        <v>0</v>
      </c>
      <c r="AF26" s="1483">
        <v>0</v>
      </c>
      <c r="AG26" s="1483">
        <v>0</v>
      </c>
      <c r="AH26" s="1483">
        <v>0</v>
      </c>
      <c r="AI26" s="1483">
        <v>0</v>
      </c>
      <c r="AJ26" s="1483">
        <v>0</v>
      </c>
      <c r="AK26" s="1483">
        <v>0</v>
      </c>
      <c r="AL26" s="1483">
        <v>0</v>
      </c>
      <c r="AM26" s="1483">
        <v>0</v>
      </c>
      <c r="AN26" s="1483">
        <v>0</v>
      </c>
      <c r="AO26" s="1483">
        <v>0</v>
      </c>
      <c r="AP26" s="1483">
        <v>0</v>
      </c>
      <c r="AQ26" s="1483">
        <v>0</v>
      </c>
      <c r="AR26" s="1483">
        <v>0</v>
      </c>
      <c r="AS26" s="1483">
        <v>0</v>
      </c>
    </row>
    <row r="27" s="1480" customFormat="1" spans="1:46">
      <c r="A27" s="1488" t="s">
        <v>202</v>
      </c>
      <c r="B27" s="1489" t="s">
        <v>234</v>
      </c>
      <c r="C27" s="1564">
        <v>576.741193381094</v>
      </c>
      <c r="D27" s="1494"/>
      <c r="E27" s="1494"/>
      <c r="F27" s="1494"/>
      <c r="G27" s="1494"/>
      <c r="H27" s="1494"/>
      <c r="I27" s="1494"/>
      <c r="J27" s="1494"/>
      <c r="K27" s="1494"/>
      <c r="L27" s="1494"/>
      <c r="M27" s="1494"/>
      <c r="N27" s="1494"/>
      <c r="O27" s="1494"/>
      <c r="P27" s="1494"/>
      <c r="Q27" s="1494"/>
      <c r="R27" s="1494"/>
      <c r="S27" s="1494"/>
      <c r="T27" s="1494"/>
      <c r="U27" s="1494">
        <v>144.185298345273</v>
      </c>
      <c r="V27" s="1494">
        <v>144.185298345273</v>
      </c>
      <c r="W27" s="1494">
        <v>144.185298345273</v>
      </c>
      <c r="X27" s="1494">
        <v>144.185298345273</v>
      </c>
      <c r="Y27" s="1565"/>
      <c r="Z27" s="1565"/>
      <c r="AA27" s="1565"/>
      <c r="AB27" s="1565"/>
      <c r="AC27" s="1565"/>
      <c r="AD27" s="1565"/>
      <c r="AE27" s="1565"/>
      <c r="AF27" s="1565"/>
      <c r="AG27" s="1565"/>
      <c r="AH27" s="1565"/>
      <c r="AI27" s="1565"/>
      <c r="AJ27" s="1565"/>
      <c r="AK27" s="1565"/>
      <c r="AL27" s="1565"/>
      <c r="AM27" s="1565"/>
      <c r="AN27" s="1565"/>
      <c r="AO27" s="1565"/>
      <c r="AP27" s="1565"/>
      <c r="AQ27" s="1565"/>
      <c r="AR27" s="1565"/>
      <c r="AS27" s="1565"/>
      <c r="AT27" s="1480">
        <v>0</v>
      </c>
    </row>
    <row r="28" s="1480" customFormat="1" spans="1:45">
      <c r="A28" s="1488">
        <v>0</v>
      </c>
      <c r="B28" s="1489" t="s">
        <v>323</v>
      </c>
      <c r="C28" s="1564">
        <v>60000</v>
      </c>
      <c r="D28" s="1494">
        <v>0</v>
      </c>
      <c r="E28" s="1494">
        <v>0</v>
      </c>
      <c r="F28" s="1564">
        <v>0</v>
      </c>
      <c r="G28" s="1564">
        <v>0</v>
      </c>
      <c r="H28" s="1494">
        <v>0</v>
      </c>
      <c r="I28" s="1494">
        <v>60000</v>
      </c>
      <c r="J28" s="1494">
        <v>60000</v>
      </c>
      <c r="K28" s="1494">
        <v>60000</v>
      </c>
      <c r="L28" s="1494">
        <v>60000</v>
      </c>
      <c r="M28" s="1494">
        <v>60000</v>
      </c>
      <c r="N28" s="1494">
        <v>60000</v>
      </c>
      <c r="O28" s="1494">
        <v>60000</v>
      </c>
      <c r="P28" s="1494">
        <v>60000</v>
      </c>
      <c r="Q28" s="1494">
        <v>60000</v>
      </c>
      <c r="R28" s="1494">
        <v>60000</v>
      </c>
      <c r="S28" s="1494">
        <v>60000</v>
      </c>
      <c r="T28" s="1494">
        <v>60000</v>
      </c>
      <c r="U28" s="1494">
        <v>60000</v>
      </c>
      <c r="V28" s="1494">
        <v>60000</v>
      </c>
      <c r="W28" s="1494">
        <v>60000</v>
      </c>
      <c r="X28" s="1494">
        <v>60000</v>
      </c>
      <c r="Y28" s="1494">
        <v>60000</v>
      </c>
      <c r="Z28" s="1494">
        <v>60000</v>
      </c>
      <c r="AA28" s="1494">
        <v>60000</v>
      </c>
      <c r="AB28" s="1494">
        <v>60000</v>
      </c>
      <c r="AC28" s="1494">
        <v>60000</v>
      </c>
      <c r="AD28" s="1494">
        <v>60000</v>
      </c>
      <c r="AE28" s="1494">
        <v>60000</v>
      </c>
      <c r="AF28" s="1494">
        <v>60000</v>
      </c>
      <c r="AG28" s="1494">
        <v>60000</v>
      </c>
      <c r="AH28" s="1494">
        <v>60000</v>
      </c>
      <c r="AI28" s="1494">
        <v>60000</v>
      </c>
      <c r="AJ28" s="1494">
        <v>60000</v>
      </c>
      <c r="AK28" s="1494">
        <v>60000</v>
      </c>
      <c r="AL28" s="1494">
        <v>60000</v>
      </c>
      <c r="AM28" s="1494">
        <v>60000</v>
      </c>
      <c r="AN28" s="1494">
        <v>60000</v>
      </c>
      <c r="AO28" s="1494">
        <v>0</v>
      </c>
      <c r="AP28" s="1494">
        <v>0</v>
      </c>
      <c r="AQ28" s="1494">
        <v>0</v>
      </c>
      <c r="AR28" s="1494">
        <v>0</v>
      </c>
      <c r="AS28" s="1494">
        <v>0</v>
      </c>
    </row>
    <row r="29" spans="1:45">
      <c r="A29" s="1491">
        <v>0</v>
      </c>
      <c r="B29" s="1492" t="s">
        <v>324</v>
      </c>
      <c r="C29" s="1492">
        <v>3460.44716028656</v>
      </c>
      <c r="D29" s="1492">
        <v>0</v>
      </c>
      <c r="E29" s="1492">
        <v>0</v>
      </c>
      <c r="F29" s="1492">
        <v>0</v>
      </c>
      <c r="G29" s="1492">
        <v>0</v>
      </c>
      <c r="H29" s="1492">
        <v>0</v>
      </c>
      <c r="I29" s="1492">
        <v>0</v>
      </c>
      <c r="J29" s="1492">
        <v>0</v>
      </c>
      <c r="K29" s="1492">
        <v>0</v>
      </c>
      <c r="L29" s="1492">
        <v>0</v>
      </c>
      <c r="M29" s="1492">
        <v>0</v>
      </c>
      <c r="N29" s="1492">
        <v>0</v>
      </c>
      <c r="O29" s="1492">
        <v>0</v>
      </c>
      <c r="P29" s="1492">
        <v>0</v>
      </c>
      <c r="Q29" s="1492">
        <v>0</v>
      </c>
      <c r="R29" s="1492">
        <v>0</v>
      </c>
      <c r="S29" s="1492">
        <v>0</v>
      </c>
      <c r="T29" s="1492">
        <v>0</v>
      </c>
      <c r="U29" s="1492">
        <v>865.111790071641</v>
      </c>
      <c r="V29" s="1492">
        <v>865.111790071641</v>
      </c>
      <c r="W29" s="1492">
        <v>865.111790071641</v>
      </c>
      <c r="X29" s="1492">
        <v>865.111790071641</v>
      </c>
      <c r="Y29" s="1492">
        <v>0</v>
      </c>
      <c r="Z29" s="1492">
        <v>0</v>
      </c>
      <c r="AA29" s="1492">
        <v>0</v>
      </c>
      <c r="AB29" s="1492">
        <v>0</v>
      </c>
      <c r="AC29" s="1492">
        <v>0</v>
      </c>
      <c r="AD29" s="1492">
        <v>0</v>
      </c>
      <c r="AE29" s="1492">
        <v>0</v>
      </c>
      <c r="AF29" s="1492">
        <v>0</v>
      </c>
      <c r="AG29" s="1492">
        <v>0</v>
      </c>
      <c r="AH29" s="1492">
        <v>0</v>
      </c>
      <c r="AI29" s="1492">
        <v>0</v>
      </c>
      <c r="AJ29" s="1492">
        <v>0</v>
      </c>
      <c r="AK29" s="1492">
        <v>0</v>
      </c>
      <c r="AL29" s="1492">
        <v>0</v>
      </c>
      <c r="AM29" s="1492">
        <v>0</v>
      </c>
      <c r="AN29" s="1492">
        <v>0</v>
      </c>
      <c r="AO29" s="1492">
        <v>0</v>
      </c>
      <c r="AP29" s="1492">
        <v>0</v>
      </c>
      <c r="AQ29" s="1492">
        <v>0</v>
      </c>
      <c r="AR29" s="1492">
        <v>0</v>
      </c>
      <c r="AS29" s="1492">
        <v>0</v>
      </c>
    </row>
    <row r="30" s="1480" customFormat="1" spans="1:45">
      <c r="A30" s="1488" t="s">
        <v>195</v>
      </c>
      <c r="B30" s="1489" t="s">
        <v>234</v>
      </c>
      <c r="C30" s="1564">
        <v>93600</v>
      </c>
      <c r="D30" s="1494"/>
      <c r="E30" s="1494"/>
      <c r="F30" s="1494"/>
      <c r="G30" s="1494"/>
      <c r="H30" s="1494"/>
      <c r="I30" s="1494"/>
      <c r="J30" s="1494"/>
      <c r="K30" s="1494"/>
      <c r="L30" s="1494"/>
      <c r="M30" s="1494"/>
      <c r="N30" s="1494"/>
      <c r="O30" s="1494"/>
      <c r="P30" s="1494"/>
      <c r="Q30" s="1494"/>
      <c r="R30" s="1494"/>
      <c r="S30" s="1494"/>
      <c r="T30" s="1494"/>
      <c r="U30" s="1494">
        <v>23400</v>
      </c>
      <c r="V30" s="1494">
        <v>23400</v>
      </c>
      <c r="W30" s="1494">
        <v>23400</v>
      </c>
      <c r="X30" s="1494">
        <v>23400</v>
      </c>
      <c r="Y30" s="1565"/>
      <c r="Z30" s="1565"/>
      <c r="AA30" s="1565"/>
      <c r="AB30" s="1565"/>
      <c r="AC30" s="1565"/>
      <c r="AD30" s="1565"/>
      <c r="AE30" s="1565"/>
      <c r="AF30" s="1565"/>
      <c r="AG30" s="1565"/>
      <c r="AH30" s="1565"/>
      <c r="AI30" s="1565"/>
      <c r="AJ30" s="1565"/>
      <c r="AK30" s="1565"/>
      <c r="AL30" s="1565"/>
      <c r="AM30" s="1565"/>
      <c r="AN30" s="1565"/>
      <c r="AO30" s="1565"/>
      <c r="AP30" s="1565"/>
      <c r="AQ30" s="1565"/>
      <c r="AR30" s="1565"/>
      <c r="AS30" s="1565"/>
    </row>
    <row r="31" s="1480" customFormat="1" spans="1:45">
      <c r="A31" s="1488">
        <v>0</v>
      </c>
      <c r="B31" s="1489" t="s">
        <v>323</v>
      </c>
      <c r="C31" s="1564">
        <v>12173.9130434783</v>
      </c>
      <c r="D31" s="1494"/>
      <c r="E31" s="1494"/>
      <c r="F31" s="1564"/>
      <c r="G31" s="1564"/>
      <c r="H31" s="1494"/>
      <c r="I31" s="1494">
        <v>12173.9130434783</v>
      </c>
      <c r="J31" s="1494">
        <v>12173.9130434783</v>
      </c>
      <c r="K31" s="1494">
        <v>12173.9130434783</v>
      </c>
      <c r="L31" s="1494">
        <v>12173.9130434783</v>
      </c>
      <c r="M31" s="1494">
        <v>12173.9130434783</v>
      </c>
      <c r="N31" s="1494">
        <v>12173.9130434783</v>
      </c>
      <c r="O31" s="1494">
        <v>12173.9130434783</v>
      </c>
      <c r="P31" s="1494">
        <v>12173.9130434783</v>
      </c>
      <c r="Q31" s="1494">
        <v>12173.9130434783</v>
      </c>
      <c r="R31" s="1494">
        <v>12173.9130434783</v>
      </c>
      <c r="S31" s="1494">
        <v>12173.9130434783</v>
      </c>
      <c r="T31" s="1494">
        <v>12173.9130434783</v>
      </c>
      <c r="U31" s="1494">
        <v>12173.9130434783</v>
      </c>
      <c r="V31" s="1494">
        <v>12173.9130434783</v>
      </c>
      <c r="W31" s="1494">
        <v>12173.9130434783</v>
      </c>
      <c r="X31" s="1494">
        <v>12173.9130434783</v>
      </c>
      <c r="Y31" s="1494">
        <v>12173.9130434783</v>
      </c>
      <c r="Z31" s="1494">
        <v>12173.9130434783</v>
      </c>
      <c r="AA31" s="1494">
        <v>12173.9130434783</v>
      </c>
      <c r="AB31" s="1494">
        <v>12173.9130434783</v>
      </c>
      <c r="AC31" s="1494">
        <v>12173.9130434783</v>
      </c>
      <c r="AD31" s="1494">
        <v>12173.9130434783</v>
      </c>
      <c r="AE31" s="1494">
        <v>12173.9130434783</v>
      </c>
      <c r="AF31" s="1494">
        <v>12173.9130434783</v>
      </c>
      <c r="AG31" s="1494">
        <v>12173.9130434783</v>
      </c>
      <c r="AH31" s="1494">
        <v>12173.9130434783</v>
      </c>
      <c r="AI31" s="1494">
        <v>12173.9130434783</v>
      </c>
      <c r="AJ31" s="1494">
        <v>12173.9130434783</v>
      </c>
      <c r="AK31" s="1494">
        <v>12173.9130434783</v>
      </c>
      <c r="AL31" s="1494">
        <v>12173.9130434783</v>
      </c>
      <c r="AM31" s="1494">
        <v>12173.9130434783</v>
      </c>
      <c r="AN31" s="1494">
        <v>12173.9130434783</v>
      </c>
      <c r="AO31" s="1494">
        <v>12173.9130434783</v>
      </c>
      <c r="AP31" s="1494">
        <v>12173.9130434783</v>
      </c>
      <c r="AQ31" s="1494">
        <v>12173.9130434783</v>
      </c>
      <c r="AR31" s="1494">
        <v>12173.9130434783</v>
      </c>
      <c r="AS31" s="1494">
        <v>12173.9130434783</v>
      </c>
    </row>
    <row r="32" spans="1:45">
      <c r="A32" s="1491">
        <v>0</v>
      </c>
      <c r="B32" s="1492" t="s">
        <v>324</v>
      </c>
      <c r="C32" s="1492">
        <v>113947.826086957</v>
      </c>
      <c r="D32" s="1492">
        <v>0</v>
      </c>
      <c r="E32" s="1492">
        <v>0</v>
      </c>
      <c r="F32" s="1492">
        <v>0</v>
      </c>
      <c r="G32" s="1492">
        <v>0</v>
      </c>
      <c r="H32" s="1492">
        <v>0</v>
      </c>
      <c r="I32" s="1492">
        <v>0</v>
      </c>
      <c r="J32" s="1492">
        <v>0</v>
      </c>
      <c r="K32" s="1492">
        <v>0</v>
      </c>
      <c r="L32" s="1492">
        <v>0</v>
      </c>
      <c r="M32" s="1492">
        <v>0</v>
      </c>
      <c r="N32" s="1492">
        <v>0</v>
      </c>
      <c r="O32" s="1492">
        <v>0</v>
      </c>
      <c r="P32" s="1492">
        <v>0</v>
      </c>
      <c r="Q32" s="1492">
        <v>0</v>
      </c>
      <c r="R32" s="1492">
        <v>0</v>
      </c>
      <c r="S32" s="1492">
        <v>0</v>
      </c>
      <c r="T32" s="1492">
        <v>0</v>
      </c>
      <c r="U32" s="1492">
        <v>28486.9565217391</v>
      </c>
      <c r="V32" s="1492">
        <v>28486.9565217391</v>
      </c>
      <c r="W32" s="1492">
        <v>28486.9565217391</v>
      </c>
      <c r="X32" s="1492">
        <v>28486.9565217391</v>
      </c>
      <c r="Y32" s="1492">
        <v>0</v>
      </c>
      <c r="Z32" s="1492">
        <v>0</v>
      </c>
      <c r="AA32" s="1492">
        <v>0</v>
      </c>
      <c r="AB32" s="1492">
        <v>0</v>
      </c>
      <c r="AC32" s="1492">
        <v>0</v>
      </c>
      <c r="AD32" s="1492">
        <v>0</v>
      </c>
      <c r="AE32" s="1492">
        <v>0</v>
      </c>
      <c r="AF32" s="1492">
        <v>0</v>
      </c>
      <c r="AG32" s="1492">
        <v>0</v>
      </c>
      <c r="AH32" s="1492">
        <v>0</v>
      </c>
      <c r="AI32" s="1492">
        <v>0</v>
      </c>
      <c r="AJ32" s="1492">
        <v>0</v>
      </c>
      <c r="AK32" s="1492">
        <v>0</v>
      </c>
      <c r="AL32" s="1492">
        <v>0</v>
      </c>
      <c r="AM32" s="1492">
        <v>0</v>
      </c>
      <c r="AN32" s="1492">
        <v>0</v>
      </c>
      <c r="AO32" s="1492">
        <v>0</v>
      </c>
      <c r="AP32" s="1492">
        <v>0</v>
      </c>
      <c r="AQ32" s="1492">
        <v>0</v>
      </c>
      <c r="AR32" s="1492">
        <v>0</v>
      </c>
      <c r="AS32" s="1492">
        <v>0</v>
      </c>
    </row>
    <row r="33" s="1480" customFormat="1" spans="1:45">
      <c r="A33" s="1488" t="s">
        <v>63</v>
      </c>
      <c r="B33" s="1489" t="s">
        <v>234</v>
      </c>
      <c r="C33" s="1564">
        <v>0</v>
      </c>
      <c r="D33" s="1494"/>
      <c r="E33" s="1494"/>
      <c r="F33" s="1494"/>
      <c r="G33" s="1494"/>
      <c r="H33" s="1494"/>
      <c r="I33" s="1494"/>
      <c r="J33" s="1494"/>
      <c r="K33" s="1494"/>
      <c r="L33" s="1494"/>
      <c r="M33" s="1494"/>
      <c r="N33" s="1494"/>
      <c r="O33" s="1494"/>
      <c r="P33" s="1494"/>
      <c r="Q33" s="1494"/>
      <c r="R33" s="1494"/>
      <c r="S33" s="1494"/>
      <c r="T33" s="1494"/>
      <c r="U33" s="1494"/>
      <c r="V33" s="1494"/>
      <c r="W33" s="1494"/>
      <c r="X33" s="1494">
        <v>0</v>
      </c>
      <c r="Y33" s="1494"/>
      <c r="Z33" s="1494"/>
      <c r="AA33" s="1494"/>
      <c r="AB33" s="1565"/>
      <c r="AC33" s="1565"/>
      <c r="AD33" s="1565"/>
      <c r="AE33" s="1565"/>
      <c r="AF33" s="1565"/>
      <c r="AG33" s="1565"/>
      <c r="AH33" s="1565"/>
      <c r="AI33" s="1565"/>
      <c r="AJ33" s="1565"/>
      <c r="AK33" s="1565"/>
      <c r="AL33" s="1565"/>
      <c r="AM33" s="1565"/>
      <c r="AN33" s="1565"/>
      <c r="AO33" s="1565"/>
      <c r="AP33" s="1565"/>
      <c r="AQ33" s="1565"/>
      <c r="AR33" s="1565"/>
      <c r="AS33" s="1565"/>
    </row>
    <row r="34" s="1480" customFormat="1" spans="1:45">
      <c r="A34" s="1488"/>
      <c r="B34" s="1489" t="s">
        <v>323</v>
      </c>
      <c r="C34" s="1564">
        <v>0</v>
      </c>
      <c r="D34" s="1494"/>
      <c r="E34" s="1494"/>
      <c r="F34" s="1564"/>
      <c r="G34" s="1564"/>
      <c r="H34" s="1494"/>
      <c r="I34" s="1494">
        <v>12000</v>
      </c>
      <c r="J34" s="1494">
        <v>12000</v>
      </c>
      <c r="K34" s="1494">
        <v>12000</v>
      </c>
      <c r="L34" s="1494">
        <v>12000</v>
      </c>
      <c r="M34" s="1494">
        <v>12000</v>
      </c>
      <c r="N34" s="1494">
        <v>12000</v>
      </c>
      <c r="O34" s="1494">
        <v>12000</v>
      </c>
      <c r="P34" s="1494">
        <v>12000</v>
      </c>
      <c r="Q34" s="1494">
        <v>12000</v>
      </c>
      <c r="R34" s="1494">
        <v>12000</v>
      </c>
      <c r="S34" s="1494">
        <v>12000</v>
      </c>
      <c r="T34" s="1494">
        <v>12000</v>
      </c>
      <c r="U34" s="1494">
        <v>12000</v>
      </c>
      <c r="V34" s="1494">
        <v>12000</v>
      </c>
      <c r="W34" s="1494">
        <v>12000</v>
      </c>
      <c r="X34" s="1494">
        <v>12000</v>
      </c>
      <c r="Y34" s="1494">
        <v>12000</v>
      </c>
      <c r="Z34" s="1494">
        <v>12000</v>
      </c>
      <c r="AA34" s="1494">
        <v>12000</v>
      </c>
      <c r="AB34" s="1494">
        <v>12000</v>
      </c>
      <c r="AC34" s="1494">
        <v>12000</v>
      </c>
      <c r="AD34" s="1494">
        <v>12000</v>
      </c>
      <c r="AE34" s="1494">
        <v>12000</v>
      </c>
      <c r="AF34" s="1494">
        <v>12000</v>
      </c>
      <c r="AG34" s="1494">
        <v>12000</v>
      </c>
      <c r="AH34" s="1494">
        <v>12000</v>
      </c>
      <c r="AI34" s="1494">
        <v>12000</v>
      </c>
      <c r="AJ34" s="1494">
        <v>12000</v>
      </c>
      <c r="AK34" s="1494">
        <v>12000</v>
      </c>
      <c r="AL34" s="1494">
        <v>12000</v>
      </c>
      <c r="AM34" s="1494">
        <v>12000</v>
      </c>
      <c r="AN34" s="1494">
        <v>12000</v>
      </c>
      <c r="AO34" s="1494">
        <v>12000</v>
      </c>
      <c r="AP34" s="1494">
        <v>12000</v>
      </c>
      <c r="AQ34" s="1494">
        <v>12000</v>
      </c>
      <c r="AR34" s="1494">
        <v>12000</v>
      </c>
      <c r="AS34" s="1494">
        <v>12000</v>
      </c>
    </row>
    <row r="35" spans="1:45">
      <c r="A35" s="1491"/>
      <c r="B35" s="1492" t="s">
        <v>324</v>
      </c>
      <c r="C35" s="1492">
        <v>0</v>
      </c>
      <c r="D35" s="1492">
        <v>0</v>
      </c>
      <c r="E35" s="1492">
        <v>0</v>
      </c>
      <c r="F35" s="1492">
        <v>0</v>
      </c>
      <c r="G35" s="1492">
        <v>0</v>
      </c>
      <c r="H35" s="1492">
        <v>0</v>
      </c>
      <c r="I35" s="1492">
        <v>0</v>
      </c>
      <c r="J35" s="1492">
        <v>0</v>
      </c>
      <c r="K35" s="1492">
        <v>0</v>
      </c>
      <c r="L35" s="1492">
        <v>0</v>
      </c>
      <c r="M35" s="1492">
        <v>0</v>
      </c>
      <c r="N35" s="1492">
        <v>0</v>
      </c>
      <c r="O35" s="1492">
        <v>0</v>
      </c>
      <c r="P35" s="1492">
        <v>0</v>
      </c>
      <c r="Q35" s="1492">
        <v>0</v>
      </c>
      <c r="R35" s="1492">
        <v>0</v>
      </c>
      <c r="S35" s="1492">
        <v>0</v>
      </c>
      <c r="T35" s="1492">
        <v>0</v>
      </c>
      <c r="U35" s="1492">
        <v>0</v>
      </c>
      <c r="V35" s="1492">
        <v>0</v>
      </c>
      <c r="W35" s="1492">
        <v>0</v>
      </c>
      <c r="X35" s="1492">
        <v>0</v>
      </c>
      <c r="Y35" s="1492">
        <v>0</v>
      </c>
      <c r="Z35" s="1492">
        <v>0</v>
      </c>
      <c r="AA35" s="1492">
        <v>0</v>
      </c>
      <c r="AB35" s="1492">
        <v>0</v>
      </c>
      <c r="AC35" s="1492">
        <v>0</v>
      </c>
      <c r="AD35" s="1492">
        <v>0</v>
      </c>
      <c r="AE35" s="1492">
        <v>0</v>
      </c>
      <c r="AF35" s="1492">
        <v>0</v>
      </c>
      <c r="AG35" s="1492">
        <v>0</v>
      </c>
      <c r="AH35" s="1492">
        <v>0</v>
      </c>
      <c r="AI35" s="1492">
        <v>0</v>
      </c>
      <c r="AJ35" s="1492">
        <v>0</v>
      </c>
      <c r="AK35" s="1492">
        <v>0</v>
      </c>
      <c r="AL35" s="1492">
        <v>0</v>
      </c>
      <c r="AM35" s="1492">
        <v>0</v>
      </c>
      <c r="AN35" s="1492">
        <v>0</v>
      </c>
      <c r="AO35" s="1492">
        <v>0</v>
      </c>
      <c r="AP35" s="1492">
        <v>0</v>
      </c>
      <c r="AQ35" s="1492">
        <v>0</v>
      </c>
      <c r="AR35" s="1492">
        <v>0</v>
      </c>
      <c r="AS35" s="1492">
        <v>0</v>
      </c>
    </row>
    <row r="36" s="1480" customFormat="1" spans="1:45">
      <c r="A36" s="1488" t="s">
        <v>245</v>
      </c>
      <c r="B36" s="1489" t="s">
        <v>234</v>
      </c>
      <c r="C36" s="1564">
        <v>0</v>
      </c>
      <c r="D36" s="1494"/>
      <c r="E36" s="1494"/>
      <c r="F36" s="1494"/>
      <c r="G36" s="1494"/>
      <c r="H36" s="1494"/>
      <c r="I36" s="1494"/>
      <c r="J36" s="1494"/>
      <c r="K36" s="1494">
        <v>0</v>
      </c>
      <c r="L36" s="1494">
        <v>0</v>
      </c>
      <c r="M36" s="1494">
        <v>0</v>
      </c>
      <c r="N36" s="1494">
        <v>0</v>
      </c>
      <c r="O36" s="1494">
        <v>0</v>
      </c>
      <c r="P36" s="1494"/>
      <c r="Q36" s="1494"/>
      <c r="R36" s="1494"/>
      <c r="S36" s="1494"/>
      <c r="T36" s="1565"/>
      <c r="U36" s="1565"/>
      <c r="V36" s="1565"/>
      <c r="W36" s="1565"/>
      <c r="X36" s="1565"/>
      <c r="Y36" s="1565"/>
      <c r="Z36" s="1565"/>
      <c r="AA36" s="1565"/>
      <c r="AB36" s="1565"/>
      <c r="AC36" s="1565"/>
      <c r="AD36" s="1565"/>
      <c r="AE36" s="1565"/>
      <c r="AF36" s="1565"/>
      <c r="AG36" s="1565"/>
      <c r="AH36" s="1565"/>
      <c r="AI36" s="1565"/>
      <c r="AJ36" s="1565"/>
      <c r="AK36" s="1565"/>
      <c r="AL36" s="1565"/>
      <c r="AM36" s="1565"/>
      <c r="AN36" s="1565"/>
      <c r="AO36" s="1565"/>
      <c r="AP36" s="1565"/>
      <c r="AQ36" s="1565"/>
      <c r="AR36" s="1565"/>
      <c r="AS36" s="1565"/>
    </row>
    <row r="37" s="1480" customFormat="1" spans="1:45">
      <c r="A37" s="1488"/>
      <c r="B37" s="1489" t="s">
        <v>323</v>
      </c>
      <c r="C37" s="1564">
        <v>0</v>
      </c>
      <c r="D37" s="1494"/>
      <c r="E37" s="1494"/>
      <c r="F37" s="1564"/>
      <c r="G37" s="1564"/>
      <c r="H37" s="1494"/>
      <c r="I37" s="1494">
        <v>0</v>
      </c>
      <c r="J37" s="1494">
        <v>0</v>
      </c>
      <c r="K37" s="1494">
        <v>0</v>
      </c>
      <c r="L37" s="1494">
        <v>0</v>
      </c>
      <c r="M37" s="1494">
        <v>0</v>
      </c>
      <c r="N37" s="1494">
        <v>0</v>
      </c>
      <c r="O37" s="1494">
        <v>0</v>
      </c>
      <c r="P37" s="1494">
        <v>0</v>
      </c>
      <c r="Q37" s="1494">
        <v>0</v>
      </c>
      <c r="R37" s="1494">
        <v>0</v>
      </c>
      <c r="S37" s="1494">
        <v>0</v>
      </c>
      <c r="T37" s="1494">
        <v>0</v>
      </c>
      <c r="U37" s="1494">
        <v>0</v>
      </c>
      <c r="V37" s="1494">
        <v>0</v>
      </c>
      <c r="W37" s="1494">
        <v>0</v>
      </c>
      <c r="X37" s="1494">
        <v>0</v>
      </c>
      <c r="Y37" s="1494">
        <v>0</v>
      </c>
      <c r="Z37" s="1494">
        <v>0</v>
      </c>
      <c r="AA37" s="1494">
        <v>0</v>
      </c>
      <c r="AB37" s="1494">
        <v>0</v>
      </c>
      <c r="AC37" s="1494">
        <v>0</v>
      </c>
      <c r="AD37" s="1494">
        <v>0</v>
      </c>
      <c r="AE37" s="1494">
        <v>0</v>
      </c>
      <c r="AF37" s="1494">
        <v>0</v>
      </c>
      <c r="AG37" s="1494">
        <v>0</v>
      </c>
      <c r="AH37" s="1494">
        <v>0</v>
      </c>
      <c r="AI37" s="1494">
        <v>0</v>
      </c>
      <c r="AJ37" s="1494">
        <v>0</v>
      </c>
      <c r="AK37" s="1494">
        <v>0</v>
      </c>
      <c r="AL37" s="1494">
        <v>0</v>
      </c>
      <c r="AM37" s="1494">
        <v>0</v>
      </c>
      <c r="AN37" s="1494">
        <v>0</v>
      </c>
      <c r="AO37" s="1494">
        <v>0</v>
      </c>
      <c r="AP37" s="1494">
        <v>0</v>
      </c>
      <c r="AQ37" s="1494">
        <v>0</v>
      </c>
      <c r="AR37" s="1494">
        <v>0</v>
      </c>
      <c r="AS37" s="1494">
        <v>0</v>
      </c>
    </row>
    <row r="38" spans="1:45">
      <c r="A38" s="1491"/>
      <c r="B38" s="1492" t="s">
        <v>324</v>
      </c>
      <c r="C38" s="1492">
        <v>0</v>
      </c>
      <c r="D38" s="1492">
        <v>0</v>
      </c>
      <c r="E38" s="1492">
        <v>0</v>
      </c>
      <c r="F38" s="1492">
        <v>0</v>
      </c>
      <c r="G38" s="1492">
        <v>0</v>
      </c>
      <c r="H38" s="1492">
        <v>0</v>
      </c>
      <c r="I38" s="1492">
        <v>0</v>
      </c>
      <c r="J38" s="1492">
        <v>0</v>
      </c>
      <c r="K38" s="1492">
        <v>0</v>
      </c>
      <c r="L38" s="1492">
        <v>0</v>
      </c>
      <c r="M38" s="1492">
        <v>0</v>
      </c>
      <c r="N38" s="1492">
        <v>0</v>
      </c>
      <c r="O38" s="1492">
        <v>0</v>
      </c>
      <c r="P38" s="1492">
        <v>0</v>
      </c>
      <c r="Q38" s="1492">
        <v>0</v>
      </c>
      <c r="R38" s="1492">
        <v>0</v>
      </c>
      <c r="S38" s="1492">
        <v>0</v>
      </c>
      <c r="T38" s="1492">
        <v>0</v>
      </c>
      <c r="U38" s="1492">
        <v>0</v>
      </c>
      <c r="V38" s="1492">
        <v>0</v>
      </c>
      <c r="W38" s="1492">
        <v>0</v>
      </c>
      <c r="X38" s="1492">
        <v>0</v>
      </c>
      <c r="Y38" s="1492">
        <v>0</v>
      </c>
      <c r="Z38" s="1492">
        <v>0</v>
      </c>
      <c r="AA38" s="1492">
        <v>0</v>
      </c>
      <c r="AB38" s="1492">
        <v>0</v>
      </c>
      <c r="AC38" s="1492">
        <v>0</v>
      </c>
      <c r="AD38" s="1492">
        <v>0</v>
      </c>
      <c r="AE38" s="1492">
        <v>0</v>
      </c>
      <c r="AF38" s="1492">
        <v>0</v>
      </c>
      <c r="AG38" s="1492">
        <v>0</v>
      </c>
      <c r="AH38" s="1492">
        <v>0</v>
      </c>
      <c r="AI38" s="1492">
        <v>0</v>
      </c>
      <c r="AJ38" s="1492">
        <v>0</v>
      </c>
      <c r="AK38" s="1492">
        <v>0</v>
      </c>
      <c r="AL38" s="1492">
        <v>0</v>
      </c>
      <c r="AM38" s="1492">
        <v>0</v>
      </c>
      <c r="AN38" s="1492">
        <v>0</v>
      </c>
      <c r="AO38" s="1492">
        <v>0</v>
      </c>
      <c r="AP38" s="1492">
        <v>0</v>
      </c>
      <c r="AQ38" s="1492">
        <v>0</v>
      </c>
      <c r="AR38" s="1492">
        <v>0</v>
      </c>
      <c r="AS38" s="1492">
        <v>0</v>
      </c>
    </row>
    <row r="39" s="1480" customFormat="1" spans="1:45">
      <c r="A39" s="1488" t="s">
        <v>199</v>
      </c>
      <c r="B39" s="1489" t="s">
        <v>234</v>
      </c>
      <c r="C39" s="1564">
        <v>3000</v>
      </c>
      <c r="D39" s="1494"/>
      <c r="E39" s="1494"/>
      <c r="F39" s="1494"/>
      <c r="G39" s="1494"/>
      <c r="H39" s="1494"/>
      <c r="I39" s="1494"/>
      <c r="J39" s="1494"/>
      <c r="K39" s="1494"/>
      <c r="L39" s="1494"/>
      <c r="M39" s="1494"/>
      <c r="N39" s="1494"/>
      <c r="O39" s="1494"/>
      <c r="P39" s="1494"/>
      <c r="Q39" s="1494"/>
      <c r="R39" s="1494"/>
      <c r="S39" s="1494"/>
      <c r="T39" s="1565"/>
      <c r="U39" s="1565"/>
      <c r="V39" s="1565"/>
      <c r="W39" s="1565"/>
      <c r="X39" s="1565">
        <v>3000</v>
      </c>
      <c r="Y39" s="1565"/>
      <c r="Z39" s="1565"/>
      <c r="AA39" s="1565"/>
      <c r="AB39" s="1565"/>
      <c r="AC39" s="1565"/>
      <c r="AD39" s="1565"/>
      <c r="AE39" s="1565"/>
      <c r="AF39" s="1565"/>
      <c r="AG39" s="1565"/>
      <c r="AH39" s="1565"/>
      <c r="AI39" s="1565"/>
      <c r="AJ39" s="1565"/>
      <c r="AK39" s="1565"/>
      <c r="AL39" s="1565"/>
      <c r="AM39" s="1565"/>
      <c r="AN39" s="1565"/>
      <c r="AO39" s="1565"/>
      <c r="AP39" s="1565"/>
      <c r="AQ39" s="1565"/>
      <c r="AR39" s="1565"/>
      <c r="AS39" s="1565"/>
    </row>
    <row r="40" s="1480" customFormat="1" spans="1:45">
      <c r="A40" s="1488">
        <v>0</v>
      </c>
      <c r="B40" s="1489" t="s">
        <v>323</v>
      </c>
      <c r="C40" s="1564">
        <v>20000</v>
      </c>
      <c r="D40" s="1494"/>
      <c r="E40" s="1494"/>
      <c r="F40" s="1564"/>
      <c r="G40" s="1564">
        <v>0</v>
      </c>
      <c r="H40" s="1494">
        <v>0</v>
      </c>
      <c r="I40" s="1494">
        <v>20000</v>
      </c>
      <c r="J40" s="1494">
        <v>20000</v>
      </c>
      <c r="K40" s="1494">
        <v>20000</v>
      </c>
      <c r="L40" s="1494">
        <v>20000</v>
      </c>
      <c r="M40" s="1494">
        <v>20000</v>
      </c>
      <c r="N40" s="1494">
        <v>20000</v>
      </c>
      <c r="O40" s="1494">
        <v>20000</v>
      </c>
      <c r="P40" s="1494">
        <v>20000</v>
      </c>
      <c r="Q40" s="1494">
        <v>20000</v>
      </c>
      <c r="R40" s="1494">
        <v>20000</v>
      </c>
      <c r="S40" s="1494">
        <v>20000</v>
      </c>
      <c r="T40" s="1494">
        <v>20000</v>
      </c>
      <c r="U40" s="1494">
        <v>20000</v>
      </c>
      <c r="V40" s="1494">
        <v>20000</v>
      </c>
      <c r="W40" s="1494">
        <v>20000</v>
      </c>
      <c r="X40" s="1494">
        <v>20000</v>
      </c>
      <c r="Y40" s="1494">
        <v>20000</v>
      </c>
      <c r="Z40" s="1494">
        <v>20000</v>
      </c>
      <c r="AA40" s="1494">
        <v>20000</v>
      </c>
      <c r="AB40" s="1494">
        <v>20000</v>
      </c>
      <c r="AC40" s="1494">
        <v>20000</v>
      </c>
      <c r="AD40" s="1494">
        <v>20000</v>
      </c>
      <c r="AE40" s="1494">
        <v>20000</v>
      </c>
      <c r="AF40" s="1494">
        <v>20000</v>
      </c>
      <c r="AG40" s="1494">
        <v>20000</v>
      </c>
      <c r="AH40" s="1494">
        <v>20000</v>
      </c>
      <c r="AI40" s="1494">
        <v>20000</v>
      </c>
      <c r="AJ40" s="1494">
        <v>20000</v>
      </c>
      <c r="AK40" s="1494">
        <v>20000</v>
      </c>
      <c r="AL40" s="1494"/>
      <c r="AM40" s="1494"/>
      <c r="AN40" s="1494"/>
      <c r="AO40" s="1494"/>
      <c r="AP40" s="1494">
        <v>0</v>
      </c>
      <c r="AQ40" s="1494">
        <v>0</v>
      </c>
      <c r="AR40" s="1494">
        <v>0</v>
      </c>
      <c r="AS40" s="1494">
        <v>0</v>
      </c>
    </row>
    <row r="41" spans="1:45">
      <c r="A41" s="1491">
        <v>0</v>
      </c>
      <c r="B41" s="1492" t="s">
        <v>324</v>
      </c>
      <c r="C41" s="1492">
        <v>6000</v>
      </c>
      <c r="D41" s="1492">
        <v>0</v>
      </c>
      <c r="E41" s="1492">
        <v>0</v>
      </c>
      <c r="F41" s="1492">
        <v>0</v>
      </c>
      <c r="G41" s="1492">
        <v>0</v>
      </c>
      <c r="H41" s="1492">
        <v>0</v>
      </c>
      <c r="I41" s="1492">
        <v>0</v>
      </c>
      <c r="J41" s="1492">
        <v>0</v>
      </c>
      <c r="K41" s="1492">
        <v>0</v>
      </c>
      <c r="L41" s="1492">
        <v>0</v>
      </c>
      <c r="M41" s="1492">
        <v>0</v>
      </c>
      <c r="N41" s="1492">
        <v>0</v>
      </c>
      <c r="O41" s="1492">
        <v>0</v>
      </c>
      <c r="P41" s="1492">
        <v>0</v>
      </c>
      <c r="Q41" s="1492">
        <v>0</v>
      </c>
      <c r="R41" s="1492">
        <v>0</v>
      </c>
      <c r="S41" s="1492">
        <v>0</v>
      </c>
      <c r="T41" s="1492">
        <v>0</v>
      </c>
      <c r="U41" s="1492">
        <v>0</v>
      </c>
      <c r="V41" s="1492">
        <v>0</v>
      </c>
      <c r="W41" s="1492">
        <v>0</v>
      </c>
      <c r="X41" s="1492">
        <v>6000</v>
      </c>
      <c r="Y41" s="1492">
        <v>0</v>
      </c>
      <c r="Z41" s="1492">
        <v>0</v>
      </c>
      <c r="AA41" s="1492">
        <v>0</v>
      </c>
      <c r="AB41" s="1492">
        <v>0</v>
      </c>
      <c r="AC41" s="1492">
        <v>0</v>
      </c>
      <c r="AD41" s="1492">
        <v>0</v>
      </c>
      <c r="AE41" s="1492">
        <v>0</v>
      </c>
      <c r="AF41" s="1492">
        <v>0</v>
      </c>
      <c r="AG41" s="1492">
        <v>0</v>
      </c>
      <c r="AH41" s="1492">
        <v>0</v>
      </c>
      <c r="AI41" s="1492">
        <v>0</v>
      </c>
      <c r="AJ41" s="1492">
        <v>0</v>
      </c>
      <c r="AK41" s="1492">
        <v>0</v>
      </c>
      <c r="AL41" s="1492">
        <v>0</v>
      </c>
      <c r="AM41" s="1492">
        <v>0</v>
      </c>
      <c r="AN41" s="1492">
        <v>0</v>
      </c>
      <c r="AO41" s="1492">
        <v>0</v>
      </c>
      <c r="AP41" s="1492">
        <v>0</v>
      </c>
      <c r="AQ41" s="1492">
        <v>0</v>
      </c>
      <c r="AR41" s="1492">
        <v>0</v>
      </c>
      <c r="AS41" s="1492">
        <v>0</v>
      </c>
    </row>
    <row r="42" spans="1:45">
      <c r="A42" s="1487" t="s">
        <v>53</v>
      </c>
      <c r="B42" s="1484" t="s">
        <v>234</v>
      </c>
      <c r="C42" s="1483">
        <v>13190</v>
      </c>
      <c r="D42" s="1483">
        <v>0</v>
      </c>
      <c r="E42" s="1483">
        <v>0</v>
      </c>
      <c r="F42" s="1483">
        <v>0</v>
      </c>
      <c r="G42" s="1483">
        <v>0</v>
      </c>
      <c r="H42" s="1483">
        <v>0</v>
      </c>
      <c r="I42" s="1483">
        <v>0</v>
      </c>
      <c r="J42" s="1483">
        <v>0</v>
      </c>
      <c r="K42" s="1483">
        <v>0</v>
      </c>
      <c r="L42" s="1483">
        <v>0</v>
      </c>
      <c r="M42" s="1483">
        <v>0</v>
      </c>
      <c r="N42" s="1483">
        <v>0</v>
      </c>
      <c r="O42" s="1483">
        <v>0</v>
      </c>
      <c r="P42" s="1483">
        <v>0</v>
      </c>
      <c r="Q42" s="1483">
        <v>0</v>
      </c>
      <c r="R42" s="1483">
        <v>0</v>
      </c>
      <c r="S42" s="1483">
        <v>0</v>
      </c>
      <c r="T42" s="1483">
        <v>0</v>
      </c>
      <c r="U42" s="1483">
        <v>0</v>
      </c>
      <c r="V42" s="1483">
        <v>0</v>
      </c>
      <c r="W42" s="1483">
        <v>0</v>
      </c>
      <c r="X42" s="1483">
        <v>13190</v>
      </c>
      <c r="Y42" s="1483">
        <v>0</v>
      </c>
      <c r="Z42" s="1483">
        <v>0</v>
      </c>
      <c r="AA42" s="1483">
        <v>0</v>
      </c>
      <c r="AB42" s="1483">
        <v>0</v>
      </c>
      <c r="AC42" s="1483">
        <v>0</v>
      </c>
      <c r="AD42" s="1483">
        <v>0</v>
      </c>
      <c r="AE42" s="1483">
        <v>0</v>
      </c>
      <c r="AF42" s="1483">
        <v>0</v>
      </c>
      <c r="AG42" s="1483">
        <v>0</v>
      </c>
      <c r="AH42" s="1483">
        <v>0</v>
      </c>
      <c r="AI42" s="1483">
        <v>0</v>
      </c>
      <c r="AJ42" s="1483">
        <v>0</v>
      </c>
      <c r="AK42" s="1483">
        <v>0</v>
      </c>
      <c r="AL42" s="1483">
        <v>0</v>
      </c>
      <c r="AM42" s="1483">
        <v>0</v>
      </c>
      <c r="AN42" s="1483">
        <v>0</v>
      </c>
      <c r="AO42" s="1483">
        <v>0</v>
      </c>
      <c r="AP42" s="1483">
        <v>0</v>
      </c>
      <c r="AQ42" s="1483">
        <v>0</v>
      </c>
      <c r="AR42" s="1483">
        <v>0</v>
      </c>
      <c r="AS42" s="1483">
        <v>0</v>
      </c>
    </row>
    <row r="43" spans="1:45">
      <c r="A43" s="1487"/>
      <c r="B43" s="1484" t="s">
        <v>323</v>
      </c>
      <c r="C43" s="1483">
        <v>12000</v>
      </c>
      <c r="D43" s="1483">
        <v>0</v>
      </c>
      <c r="E43" s="1483">
        <v>0</v>
      </c>
      <c r="F43" s="1483">
        <v>0</v>
      </c>
      <c r="G43" s="1483">
        <v>0</v>
      </c>
      <c r="H43" s="1483">
        <v>0</v>
      </c>
      <c r="I43" s="1483">
        <v>0</v>
      </c>
      <c r="J43" s="1483">
        <v>0</v>
      </c>
      <c r="K43" s="1483">
        <v>0</v>
      </c>
      <c r="L43" s="1483">
        <v>0</v>
      </c>
      <c r="M43" s="1483">
        <v>0</v>
      </c>
      <c r="N43" s="1483">
        <v>0</v>
      </c>
      <c r="O43" s="1483">
        <v>0</v>
      </c>
      <c r="P43" s="1483">
        <v>0</v>
      </c>
      <c r="Q43" s="1483">
        <v>0</v>
      </c>
      <c r="R43" s="1483">
        <v>0</v>
      </c>
      <c r="S43" s="1483">
        <v>0</v>
      </c>
      <c r="T43" s="1483">
        <v>0</v>
      </c>
      <c r="U43" s="1483">
        <v>0</v>
      </c>
      <c r="V43" s="1483">
        <v>0</v>
      </c>
      <c r="W43" s="1483">
        <v>0</v>
      </c>
      <c r="X43" s="1483">
        <v>12000</v>
      </c>
      <c r="Y43" s="1483">
        <v>0</v>
      </c>
      <c r="Z43" s="1483">
        <v>0</v>
      </c>
      <c r="AA43" s="1483">
        <v>0</v>
      </c>
      <c r="AB43" s="1483">
        <v>0</v>
      </c>
      <c r="AC43" s="1483">
        <v>0</v>
      </c>
      <c r="AD43" s="1483">
        <v>0</v>
      </c>
      <c r="AE43" s="1483">
        <v>0</v>
      </c>
      <c r="AF43" s="1483">
        <v>0</v>
      </c>
      <c r="AG43" s="1483">
        <v>0</v>
      </c>
      <c r="AH43" s="1483">
        <v>0</v>
      </c>
      <c r="AI43" s="1483">
        <v>0</v>
      </c>
      <c r="AJ43" s="1483">
        <v>0</v>
      </c>
      <c r="AK43" s="1483">
        <v>0</v>
      </c>
      <c r="AL43" s="1483">
        <v>0</v>
      </c>
      <c r="AM43" s="1483">
        <v>0</v>
      </c>
      <c r="AN43" s="1483">
        <v>0</v>
      </c>
      <c r="AO43" s="1483">
        <v>0</v>
      </c>
      <c r="AP43" s="1483">
        <v>0</v>
      </c>
      <c r="AQ43" s="1483">
        <v>0</v>
      </c>
      <c r="AR43" s="1483">
        <v>0</v>
      </c>
      <c r="AS43" s="1483">
        <v>0</v>
      </c>
    </row>
    <row r="44" spans="1:45">
      <c r="A44" s="1487"/>
      <c r="B44" s="1484" t="s">
        <v>324</v>
      </c>
      <c r="C44" s="1483">
        <v>15828</v>
      </c>
      <c r="D44" s="1483">
        <v>0</v>
      </c>
      <c r="E44" s="1483">
        <v>0</v>
      </c>
      <c r="F44" s="1483">
        <v>0</v>
      </c>
      <c r="G44" s="1483">
        <v>0</v>
      </c>
      <c r="H44" s="1483">
        <v>0</v>
      </c>
      <c r="I44" s="1483">
        <v>0</v>
      </c>
      <c r="J44" s="1483">
        <v>0</v>
      </c>
      <c r="K44" s="1483">
        <v>0</v>
      </c>
      <c r="L44" s="1483">
        <v>0</v>
      </c>
      <c r="M44" s="1483">
        <v>0</v>
      </c>
      <c r="N44" s="1483">
        <v>0</v>
      </c>
      <c r="O44" s="1483">
        <v>0</v>
      </c>
      <c r="P44" s="1483">
        <v>0</v>
      </c>
      <c r="Q44" s="1483">
        <v>0</v>
      </c>
      <c r="R44" s="1483">
        <v>0</v>
      </c>
      <c r="S44" s="1483">
        <v>0</v>
      </c>
      <c r="T44" s="1483">
        <v>0</v>
      </c>
      <c r="U44" s="1483">
        <v>0</v>
      </c>
      <c r="V44" s="1483">
        <v>0</v>
      </c>
      <c r="W44" s="1483">
        <v>0</v>
      </c>
      <c r="X44" s="1483">
        <v>15828</v>
      </c>
      <c r="Y44" s="1483">
        <v>0</v>
      </c>
      <c r="Z44" s="1483">
        <v>0</v>
      </c>
      <c r="AA44" s="1483">
        <v>0</v>
      </c>
      <c r="AB44" s="1483">
        <v>0</v>
      </c>
      <c r="AC44" s="1483">
        <v>0</v>
      </c>
      <c r="AD44" s="1483">
        <v>0</v>
      </c>
      <c r="AE44" s="1483">
        <v>0</v>
      </c>
      <c r="AF44" s="1483">
        <v>0</v>
      </c>
      <c r="AG44" s="1483">
        <v>0</v>
      </c>
      <c r="AH44" s="1483">
        <v>0</v>
      </c>
      <c r="AI44" s="1483">
        <v>0</v>
      </c>
      <c r="AJ44" s="1483">
        <v>0</v>
      </c>
      <c r="AK44" s="1483">
        <v>0</v>
      </c>
      <c r="AL44" s="1483">
        <v>0</v>
      </c>
      <c r="AM44" s="1483">
        <v>0</v>
      </c>
      <c r="AN44" s="1483">
        <v>0</v>
      </c>
      <c r="AO44" s="1483">
        <v>0</v>
      </c>
      <c r="AP44" s="1483">
        <v>0</v>
      </c>
      <c r="AQ44" s="1483">
        <v>0</v>
      </c>
      <c r="AR44" s="1483">
        <v>0</v>
      </c>
      <c r="AS44" s="1483">
        <v>0</v>
      </c>
    </row>
    <row r="45" s="1480" customFormat="1" spans="1:45">
      <c r="A45" s="1488" t="s">
        <v>202</v>
      </c>
      <c r="B45" s="1489" t="s">
        <v>234</v>
      </c>
      <c r="C45" s="1564">
        <v>0</v>
      </c>
      <c r="D45" s="1494"/>
      <c r="E45" s="1494"/>
      <c r="F45" s="1494"/>
      <c r="G45" s="1494"/>
      <c r="H45" s="1494"/>
      <c r="I45" s="1494"/>
      <c r="J45" s="1494"/>
      <c r="K45" s="1494"/>
      <c r="L45" s="1494"/>
      <c r="M45" s="1494"/>
      <c r="N45" s="1494"/>
      <c r="O45" s="1494"/>
      <c r="P45" s="1494"/>
      <c r="Q45" s="1494">
        <v>0</v>
      </c>
      <c r="R45" s="1494">
        <v>0</v>
      </c>
      <c r="S45" s="1494">
        <v>0</v>
      </c>
      <c r="T45" s="1494">
        <v>0</v>
      </c>
      <c r="U45" s="1565"/>
      <c r="V45" s="1565"/>
      <c r="W45" s="1565"/>
      <c r="X45" s="1565"/>
      <c r="Y45" s="1565"/>
      <c r="Z45" s="1565"/>
      <c r="AA45" s="1565"/>
      <c r="AB45" s="1565"/>
      <c r="AC45" s="1565"/>
      <c r="AD45" s="1565"/>
      <c r="AE45" s="1565"/>
      <c r="AF45" s="1565"/>
      <c r="AG45" s="1565"/>
      <c r="AH45" s="1565"/>
      <c r="AI45" s="1565"/>
      <c r="AJ45" s="1565"/>
      <c r="AK45" s="1565"/>
      <c r="AL45" s="1565"/>
      <c r="AM45" s="1565"/>
      <c r="AN45" s="1565"/>
      <c r="AO45" s="1565"/>
      <c r="AP45" s="1565"/>
      <c r="AQ45" s="1565"/>
      <c r="AR45" s="1565"/>
      <c r="AS45" s="1565"/>
    </row>
    <row r="46" s="1480" customFormat="1" spans="1:45">
      <c r="A46" s="1488">
        <v>0</v>
      </c>
      <c r="B46" s="1489" t="s">
        <v>323</v>
      </c>
      <c r="C46" s="1564">
        <v>0</v>
      </c>
      <c r="D46" s="1494">
        <v>0</v>
      </c>
      <c r="E46" s="1494">
        <v>0</v>
      </c>
      <c r="F46" s="1564">
        <v>0</v>
      </c>
      <c r="G46" s="1564">
        <v>0</v>
      </c>
      <c r="H46" s="1494">
        <v>0</v>
      </c>
      <c r="I46" s="1494">
        <v>60000</v>
      </c>
      <c r="J46" s="1494">
        <v>60000</v>
      </c>
      <c r="K46" s="1494">
        <v>60000</v>
      </c>
      <c r="L46" s="1494">
        <v>60000</v>
      </c>
      <c r="M46" s="1494">
        <v>60000</v>
      </c>
      <c r="N46" s="1494">
        <v>60000</v>
      </c>
      <c r="O46" s="1494">
        <v>60000</v>
      </c>
      <c r="P46" s="1494">
        <v>60000</v>
      </c>
      <c r="Q46" s="1494">
        <v>60000</v>
      </c>
      <c r="R46" s="1494">
        <v>60000</v>
      </c>
      <c r="S46" s="1494">
        <v>60000</v>
      </c>
      <c r="T46" s="1494">
        <v>60000</v>
      </c>
      <c r="U46" s="1494">
        <v>60000</v>
      </c>
      <c r="V46" s="1494">
        <v>60000</v>
      </c>
      <c r="W46" s="1494">
        <v>60000</v>
      </c>
      <c r="X46" s="1494">
        <v>60000</v>
      </c>
      <c r="Y46" s="1494">
        <v>60000</v>
      </c>
      <c r="Z46" s="1494">
        <v>60000</v>
      </c>
      <c r="AA46" s="1494">
        <v>60000</v>
      </c>
      <c r="AB46" s="1494">
        <v>60000</v>
      </c>
      <c r="AC46" s="1494">
        <v>60000</v>
      </c>
      <c r="AD46" s="1494">
        <v>60000</v>
      </c>
      <c r="AE46" s="1494">
        <v>60000</v>
      </c>
      <c r="AF46" s="1494">
        <v>60000</v>
      </c>
      <c r="AG46" s="1494">
        <v>60000</v>
      </c>
      <c r="AH46" s="1494">
        <v>60000</v>
      </c>
      <c r="AI46" s="1494">
        <v>60000</v>
      </c>
      <c r="AJ46" s="1494">
        <v>60000</v>
      </c>
      <c r="AK46" s="1494">
        <v>60000</v>
      </c>
      <c r="AL46" s="1494">
        <v>60000</v>
      </c>
      <c r="AM46" s="1494">
        <v>60000</v>
      </c>
      <c r="AN46" s="1494">
        <v>60000</v>
      </c>
      <c r="AO46" s="1494">
        <v>0</v>
      </c>
      <c r="AP46" s="1494">
        <v>0</v>
      </c>
      <c r="AQ46" s="1494">
        <v>0</v>
      </c>
      <c r="AR46" s="1494">
        <v>0</v>
      </c>
      <c r="AS46" s="1494">
        <v>0</v>
      </c>
    </row>
    <row r="47" spans="1:45">
      <c r="A47" s="1491">
        <v>0</v>
      </c>
      <c r="B47" s="1492" t="s">
        <v>324</v>
      </c>
      <c r="C47" s="1492">
        <v>0</v>
      </c>
      <c r="D47" s="1492">
        <v>0</v>
      </c>
      <c r="E47" s="1492">
        <v>0</v>
      </c>
      <c r="F47" s="1492">
        <v>0</v>
      </c>
      <c r="G47" s="1492">
        <v>0</v>
      </c>
      <c r="H47" s="1492">
        <v>0</v>
      </c>
      <c r="I47" s="1492">
        <v>0</v>
      </c>
      <c r="J47" s="1492">
        <v>0</v>
      </c>
      <c r="K47" s="1492">
        <v>0</v>
      </c>
      <c r="L47" s="1492">
        <v>0</v>
      </c>
      <c r="M47" s="1492">
        <v>0</v>
      </c>
      <c r="N47" s="1492">
        <v>0</v>
      </c>
      <c r="O47" s="1492">
        <v>0</v>
      </c>
      <c r="P47" s="1492">
        <v>0</v>
      </c>
      <c r="Q47" s="1492">
        <v>0</v>
      </c>
      <c r="R47" s="1492">
        <v>0</v>
      </c>
      <c r="S47" s="1492">
        <v>0</v>
      </c>
      <c r="T47" s="1492">
        <v>0</v>
      </c>
      <c r="U47" s="1492">
        <v>0</v>
      </c>
      <c r="V47" s="1492">
        <v>0</v>
      </c>
      <c r="W47" s="1492">
        <v>0</v>
      </c>
      <c r="X47" s="1492">
        <v>0</v>
      </c>
      <c r="Y47" s="1492">
        <v>0</v>
      </c>
      <c r="Z47" s="1492">
        <v>0</v>
      </c>
      <c r="AA47" s="1492">
        <v>0</v>
      </c>
      <c r="AB47" s="1492">
        <v>0</v>
      </c>
      <c r="AC47" s="1492">
        <v>0</v>
      </c>
      <c r="AD47" s="1492">
        <v>0</v>
      </c>
      <c r="AE47" s="1492">
        <v>0</v>
      </c>
      <c r="AF47" s="1492">
        <v>0</v>
      </c>
      <c r="AG47" s="1492">
        <v>0</v>
      </c>
      <c r="AH47" s="1492">
        <v>0</v>
      </c>
      <c r="AI47" s="1492">
        <v>0</v>
      </c>
      <c r="AJ47" s="1492">
        <v>0</v>
      </c>
      <c r="AK47" s="1492">
        <v>0</v>
      </c>
      <c r="AL47" s="1492">
        <v>0</v>
      </c>
      <c r="AM47" s="1492">
        <v>0</v>
      </c>
      <c r="AN47" s="1492">
        <v>0</v>
      </c>
      <c r="AO47" s="1492">
        <v>0</v>
      </c>
      <c r="AP47" s="1492">
        <v>0</v>
      </c>
      <c r="AQ47" s="1492">
        <v>0</v>
      </c>
      <c r="AR47" s="1492">
        <v>0</v>
      </c>
      <c r="AS47" s="1492">
        <v>0</v>
      </c>
    </row>
    <row r="48" s="1480" customFormat="1" spans="1:45">
      <c r="A48" s="1488" t="s">
        <v>195</v>
      </c>
      <c r="B48" s="1489" t="s">
        <v>234</v>
      </c>
      <c r="C48" s="1564">
        <v>0</v>
      </c>
      <c r="D48" s="1494"/>
      <c r="E48" s="1494"/>
      <c r="F48" s="1494"/>
      <c r="G48" s="1494"/>
      <c r="H48" s="1494"/>
      <c r="I48" s="1494"/>
      <c r="J48" s="1494"/>
      <c r="K48" s="1494"/>
      <c r="L48" s="1494"/>
      <c r="M48" s="1494"/>
      <c r="N48" s="1494"/>
      <c r="O48" s="1494"/>
      <c r="P48" s="1494"/>
      <c r="Q48" s="1494">
        <v>0</v>
      </c>
      <c r="R48" s="1494">
        <v>0</v>
      </c>
      <c r="S48" s="1494">
        <v>0</v>
      </c>
      <c r="T48" s="1494">
        <v>0</v>
      </c>
      <c r="U48" s="1494"/>
      <c r="V48" s="1494"/>
      <c r="W48" s="1565"/>
      <c r="X48" s="1565"/>
      <c r="Y48" s="1565"/>
      <c r="Z48" s="1565"/>
      <c r="AA48" s="1565"/>
      <c r="AB48" s="1565"/>
      <c r="AC48" s="1565"/>
      <c r="AD48" s="1565"/>
      <c r="AE48" s="1565"/>
      <c r="AF48" s="1565"/>
      <c r="AG48" s="1565"/>
      <c r="AH48" s="1565"/>
      <c r="AI48" s="1565"/>
      <c r="AJ48" s="1565"/>
      <c r="AK48" s="1565"/>
      <c r="AL48" s="1565"/>
      <c r="AM48" s="1565"/>
      <c r="AN48" s="1565"/>
      <c r="AO48" s="1565"/>
      <c r="AP48" s="1565"/>
      <c r="AQ48" s="1565"/>
      <c r="AR48" s="1565"/>
      <c r="AS48" s="1565"/>
    </row>
    <row r="49" s="1480" customFormat="1" spans="1:45">
      <c r="A49" s="1488">
        <v>0</v>
      </c>
      <c r="B49" s="1489" t="s">
        <v>323</v>
      </c>
      <c r="C49" s="1564">
        <v>0</v>
      </c>
      <c r="D49" s="1494"/>
      <c r="E49" s="1494"/>
      <c r="F49" s="1564"/>
      <c r="G49" s="1564"/>
      <c r="H49" s="1494"/>
      <c r="I49" s="1494">
        <v>12173.9130434783</v>
      </c>
      <c r="J49" s="1494">
        <v>12173.9130434783</v>
      </c>
      <c r="K49" s="1494">
        <v>12173.9130434783</v>
      </c>
      <c r="L49" s="1494">
        <v>12173.9130434783</v>
      </c>
      <c r="M49" s="1494">
        <v>12173.9130434783</v>
      </c>
      <c r="N49" s="1494">
        <v>12173.9130434783</v>
      </c>
      <c r="O49" s="1494">
        <v>12173.9130434783</v>
      </c>
      <c r="P49" s="1494">
        <v>12173.9130434783</v>
      </c>
      <c r="Q49" s="1494">
        <v>12173.9130434783</v>
      </c>
      <c r="R49" s="1494">
        <v>12173.9130434783</v>
      </c>
      <c r="S49" s="1494">
        <v>12173.9130434783</v>
      </c>
      <c r="T49" s="1494">
        <v>12173.9130434783</v>
      </c>
      <c r="U49" s="1494">
        <v>12173.9130434783</v>
      </c>
      <c r="V49" s="1494">
        <v>12173.9130434783</v>
      </c>
      <c r="W49" s="1494">
        <v>12173.9130434783</v>
      </c>
      <c r="X49" s="1494">
        <v>12173.9130434783</v>
      </c>
      <c r="Y49" s="1494">
        <v>12173.9130434783</v>
      </c>
      <c r="Z49" s="1494">
        <v>12173.9130434783</v>
      </c>
      <c r="AA49" s="1494">
        <v>12173.9130434783</v>
      </c>
      <c r="AB49" s="1494">
        <v>12173.9130434783</v>
      </c>
      <c r="AC49" s="1494">
        <v>12173.9130434783</v>
      </c>
      <c r="AD49" s="1494">
        <v>12173.9130434783</v>
      </c>
      <c r="AE49" s="1494">
        <v>12173.9130434783</v>
      </c>
      <c r="AF49" s="1494">
        <v>12173.9130434783</v>
      </c>
      <c r="AG49" s="1494">
        <v>12173.9130434783</v>
      </c>
      <c r="AH49" s="1494">
        <v>12173.9130434783</v>
      </c>
      <c r="AI49" s="1494">
        <v>12173.9130434783</v>
      </c>
      <c r="AJ49" s="1494">
        <v>12173.9130434783</v>
      </c>
      <c r="AK49" s="1494">
        <v>12173.9130434783</v>
      </c>
      <c r="AL49" s="1494">
        <v>12173.9130434783</v>
      </c>
      <c r="AM49" s="1494">
        <v>12173.9130434783</v>
      </c>
      <c r="AN49" s="1494">
        <v>12173.9130434783</v>
      </c>
      <c r="AO49" s="1494">
        <v>12173.9130434783</v>
      </c>
      <c r="AP49" s="1494">
        <v>12173.9130434783</v>
      </c>
      <c r="AQ49" s="1494">
        <v>12173.9130434783</v>
      </c>
      <c r="AR49" s="1494">
        <v>12173.9130434783</v>
      </c>
      <c r="AS49" s="1494">
        <v>12173.9130434783</v>
      </c>
    </row>
    <row r="50" spans="1:45">
      <c r="A50" s="1491">
        <v>0</v>
      </c>
      <c r="B50" s="1492" t="s">
        <v>324</v>
      </c>
      <c r="C50" s="1492">
        <v>0</v>
      </c>
      <c r="D50" s="1492">
        <v>0</v>
      </c>
      <c r="E50" s="1492">
        <v>0</v>
      </c>
      <c r="F50" s="1492">
        <v>0</v>
      </c>
      <c r="G50" s="1492">
        <v>0</v>
      </c>
      <c r="H50" s="1492">
        <v>0</v>
      </c>
      <c r="I50" s="1492">
        <v>0</v>
      </c>
      <c r="J50" s="1492">
        <v>0</v>
      </c>
      <c r="K50" s="1492">
        <v>0</v>
      </c>
      <c r="L50" s="1492">
        <v>0</v>
      </c>
      <c r="M50" s="1492">
        <v>0</v>
      </c>
      <c r="N50" s="1492">
        <v>0</v>
      </c>
      <c r="O50" s="1492">
        <v>0</v>
      </c>
      <c r="P50" s="1492">
        <v>0</v>
      </c>
      <c r="Q50" s="1492">
        <v>0</v>
      </c>
      <c r="R50" s="1492">
        <v>0</v>
      </c>
      <c r="S50" s="1492">
        <v>0</v>
      </c>
      <c r="T50" s="1492">
        <v>0</v>
      </c>
      <c r="U50" s="1492">
        <v>0</v>
      </c>
      <c r="V50" s="1492">
        <v>0</v>
      </c>
      <c r="W50" s="1492">
        <v>0</v>
      </c>
      <c r="X50" s="1492">
        <v>0</v>
      </c>
      <c r="Y50" s="1492">
        <v>0</v>
      </c>
      <c r="Z50" s="1492">
        <v>0</v>
      </c>
      <c r="AA50" s="1492">
        <v>0</v>
      </c>
      <c r="AB50" s="1492">
        <v>0</v>
      </c>
      <c r="AC50" s="1492">
        <v>0</v>
      </c>
      <c r="AD50" s="1492">
        <v>0</v>
      </c>
      <c r="AE50" s="1492">
        <v>0</v>
      </c>
      <c r="AF50" s="1492">
        <v>0</v>
      </c>
      <c r="AG50" s="1492">
        <v>0</v>
      </c>
      <c r="AH50" s="1492">
        <v>0</v>
      </c>
      <c r="AI50" s="1492">
        <v>0</v>
      </c>
      <c r="AJ50" s="1492">
        <v>0</v>
      </c>
      <c r="AK50" s="1492">
        <v>0</v>
      </c>
      <c r="AL50" s="1492">
        <v>0</v>
      </c>
      <c r="AM50" s="1492">
        <v>0</v>
      </c>
      <c r="AN50" s="1492">
        <v>0</v>
      </c>
      <c r="AO50" s="1492">
        <v>0</v>
      </c>
      <c r="AP50" s="1492">
        <v>0</v>
      </c>
      <c r="AQ50" s="1492">
        <v>0</v>
      </c>
      <c r="AR50" s="1492">
        <v>0</v>
      </c>
      <c r="AS50" s="1492">
        <v>0</v>
      </c>
    </row>
    <row r="51" s="1480" customFormat="1" spans="1:45">
      <c r="A51" s="1488" t="s">
        <v>63</v>
      </c>
      <c r="B51" s="1489" t="s">
        <v>234</v>
      </c>
      <c r="C51" s="1564">
        <v>13190</v>
      </c>
      <c r="D51" s="1494"/>
      <c r="E51" s="1494"/>
      <c r="F51" s="1494"/>
      <c r="G51" s="1494"/>
      <c r="H51" s="1494"/>
      <c r="I51" s="1494"/>
      <c r="J51" s="1494"/>
      <c r="K51" s="1494"/>
      <c r="L51" s="1494"/>
      <c r="M51" s="1494"/>
      <c r="N51" s="1494"/>
      <c r="O51" s="1494"/>
      <c r="P51" s="1494"/>
      <c r="Q51" s="1494"/>
      <c r="R51" s="1494"/>
      <c r="S51" s="1494"/>
      <c r="T51" s="1565"/>
      <c r="U51" s="1565"/>
      <c r="V51" s="1565"/>
      <c r="W51" s="1565"/>
      <c r="X51" s="1565">
        <v>13190</v>
      </c>
      <c r="Y51" s="1565"/>
      <c r="Z51" s="1565"/>
      <c r="AA51" s="1565"/>
      <c r="AB51" s="1565"/>
      <c r="AC51" s="1565"/>
      <c r="AD51" s="1565"/>
      <c r="AE51" s="1565"/>
      <c r="AF51" s="1565"/>
      <c r="AG51" s="1565"/>
      <c r="AH51" s="1565"/>
      <c r="AI51" s="1565"/>
      <c r="AJ51" s="1565"/>
      <c r="AK51" s="1565"/>
      <c r="AL51" s="1565"/>
      <c r="AM51" s="1565"/>
      <c r="AN51" s="1565"/>
      <c r="AO51" s="1565"/>
      <c r="AP51" s="1565"/>
      <c r="AQ51" s="1565"/>
      <c r="AR51" s="1565"/>
      <c r="AS51" s="1565"/>
    </row>
    <row r="52" s="1480" customFormat="1" spans="1:45">
      <c r="A52" s="1488"/>
      <c r="B52" s="1489" t="s">
        <v>323</v>
      </c>
      <c r="C52" s="1564">
        <v>12000</v>
      </c>
      <c r="D52" s="1494"/>
      <c r="E52" s="1494"/>
      <c r="F52" s="1564"/>
      <c r="G52" s="1564"/>
      <c r="H52" s="1494"/>
      <c r="I52" s="1494">
        <v>12000</v>
      </c>
      <c r="J52" s="1494">
        <v>12000</v>
      </c>
      <c r="K52" s="1494">
        <v>12000</v>
      </c>
      <c r="L52" s="1494">
        <v>12000</v>
      </c>
      <c r="M52" s="1494">
        <v>12000</v>
      </c>
      <c r="N52" s="1494">
        <v>12000</v>
      </c>
      <c r="O52" s="1494">
        <v>12000</v>
      </c>
      <c r="P52" s="1494">
        <v>12000</v>
      </c>
      <c r="Q52" s="1494">
        <v>12000</v>
      </c>
      <c r="R52" s="1494">
        <v>12000</v>
      </c>
      <c r="S52" s="1494">
        <v>12000</v>
      </c>
      <c r="T52" s="1494">
        <v>12000</v>
      </c>
      <c r="U52" s="1494">
        <v>12000</v>
      </c>
      <c r="V52" s="1494">
        <v>12000</v>
      </c>
      <c r="W52" s="1494">
        <v>12000</v>
      </c>
      <c r="X52" s="1494">
        <v>12000</v>
      </c>
      <c r="Y52" s="1494">
        <v>12000</v>
      </c>
      <c r="Z52" s="1494">
        <v>12000</v>
      </c>
      <c r="AA52" s="1494">
        <v>12000</v>
      </c>
      <c r="AB52" s="1494">
        <v>12000</v>
      </c>
      <c r="AC52" s="1494">
        <v>12000</v>
      </c>
      <c r="AD52" s="1494">
        <v>12000</v>
      </c>
      <c r="AE52" s="1494">
        <v>12000</v>
      </c>
      <c r="AF52" s="1494">
        <v>12000</v>
      </c>
      <c r="AG52" s="1494">
        <v>12000</v>
      </c>
      <c r="AH52" s="1494">
        <v>12000</v>
      </c>
      <c r="AI52" s="1494">
        <v>12000</v>
      </c>
      <c r="AJ52" s="1494">
        <v>12000</v>
      </c>
      <c r="AK52" s="1494">
        <v>12000</v>
      </c>
      <c r="AL52" s="1494">
        <v>12000</v>
      </c>
      <c r="AM52" s="1494">
        <v>12000</v>
      </c>
      <c r="AN52" s="1494">
        <v>12000</v>
      </c>
      <c r="AO52" s="1494">
        <v>12000</v>
      </c>
      <c r="AP52" s="1494">
        <v>12000</v>
      </c>
      <c r="AQ52" s="1494">
        <v>12000</v>
      </c>
      <c r="AR52" s="1494">
        <v>12000</v>
      </c>
      <c r="AS52" s="1494">
        <v>12000</v>
      </c>
    </row>
    <row r="53" spans="1:45">
      <c r="A53" s="1491"/>
      <c r="B53" s="1492" t="s">
        <v>324</v>
      </c>
      <c r="C53" s="1492">
        <v>15828</v>
      </c>
      <c r="D53" s="1492">
        <v>0</v>
      </c>
      <c r="E53" s="1492">
        <v>0</v>
      </c>
      <c r="F53" s="1492">
        <v>0</v>
      </c>
      <c r="G53" s="1492">
        <v>0</v>
      </c>
      <c r="H53" s="1492">
        <v>0</v>
      </c>
      <c r="I53" s="1492">
        <v>0</v>
      </c>
      <c r="J53" s="1492">
        <v>0</v>
      </c>
      <c r="K53" s="1492">
        <v>0</v>
      </c>
      <c r="L53" s="1492">
        <v>0</v>
      </c>
      <c r="M53" s="1492">
        <v>0</v>
      </c>
      <c r="N53" s="1492">
        <v>0</v>
      </c>
      <c r="O53" s="1492">
        <v>0</v>
      </c>
      <c r="P53" s="1492">
        <v>0</v>
      </c>
      <c r="Q53" s="1492">
        <v>0</v>
      </c>
      <c r="R53" s="1492">
        <v>0</v>
      </c>
      <c r="S53" s="1492">
        <v>0</v>
      </c>
      <c r="T53" s="1492">
        <v>0</v>
      </c>
      <c r="U53" s="1492">
        <v>0</v>
      </c>
      <c r="V53" s="1492">
        <v>0</v>
      </c>
      <c r="W53" s="1492">
        <v>0</v>
      </c>
      <c r="X53" s="1492">
        <v>15828</v>
      </c>
      <c r="Y53" s="1492">
        <v>0</v>
      </c>
      <c r="Z53" s="1492">
        <v>0</v>
      </c>
      <c r="AA53" s="1492">
        <v>0</v>
      </c>
      <c r="AB53" s="1492">
        <v>0</v>
      </c>
      <c r="AC53" s="1492">
        <v>0</v>
      </c>
      <c r="AD53" s="1492">
        <v>0</v>
      </c>
      <c r="AE53" s="1492">
        <v>0</v>
      </c>
      <c r="AF53" s="1492">
        <v>0</v>
      </c>
      <c r="AG53" s="1492">
        <v>0</v>
      </c>
      <c r="AH53" s="1492">
        <v>0</v>
      </c>
      <c r="AI53" s="1492">
        <v>0</v>
      </c>
      <c r="AJ53" s="1492">
        <v>0</v>
      </c>
      <c r="AK53" s="1492">
        <v>0</v>
      </c>
      <c r="AL53" s="1492">
        <v>0</v>
      </c>
      <c r="AM53" s="1492">
        <v>0</v>
      </c>
      <c r="AN53" s="1492">
        <v>0</v>
      </c>
      <c r="AO53" s="1492">
        <v>0</v>
      </c>
      <c r="AP53" s="1492">
        <v>0</v>
      </c>
      <c r="AQ53" s="1492">
        <v>0</v>
      </c>
      <c r="AR53" s="1492">
        <v>0</v>
      </c>
      <c r="AS53" s="1492">
        <v>0</v>
      </c>
    </row>
    <row r="54" s="1480" customFormat="1" spans="1:45">
      <c r="A54" s="1488" t="s">
        <v>245</v>
      </c>
      <c r="B54" s="1489" t="s">
        <v>234</v>
      </c>
      <c r="C54" s="1564">
        <v>0</v>
      </c>
      <c r="D54" s="1494"/>
      <c r="E54" s="1494"/>
      <c r="F54" s="1494"/>
      <c r="G54" s="1494"/>
      <c r="H54" s="1494"/>
      <c r="I54" s="1494"/>
      <c r="J54" s="1494"/>
      <c r="K54" s="1494"/>
      <c r="L54" s="1494"/>
      <c r="M54" s="1494"/>
      <c r="N54" s="1494"/>
      <c r="O54" s="1494"/>
      <c r="P54" s="1494"/>
      <c r="Q54" s="1494"/>
      <c r="R54" s="1494"/>
      <c r="S54" s="1494"/>
      <c r="T54" s="1565"/>
      <c r="U54" s="1565"/>
      <c r="V54" s="1565"/>
      <c r="W54" s="1565"/>
      <c r="X54" s="1565"/>
      <c r="Y54" s="1565"/>
      <c r="Z54" s="1565"/>
      <c r="AA54" s="1565"/>
      <c r="AB54" s="1565"/>
      <c r="AC54" s="1565"/>
      <c r="AD54" s="1565"/>
      <c r="AE54" s="1565"/>
      <c r="AF54" s="1565"/>
      <c r="AG54" s="1565"/>
      <c r="AH54" s="1565"/>
      <c r="AI54" s="1565"/>
      <c r="AJ54" s="1565"/>
      <c r="AK54" s="1565"/>
      <c r="AL54" s="1565"/>
      <c r="AM54" s="1565"/>
      <c r="AN54" s="1565"/>
      <c r="AO54" s="1565"/>
      <c r="AP54" s="1565"/>
      <c r="AQ54" s="1565"/>
      <c r="AR54" s="1565"/>
      <c r="AS54" s="1565"/>
    </row>
    <row r="55" s="1480" customFormat="1" spans="1:45">
      <c r="A55" s="1488"/>
      <c r="B55" s="1489" t="s">
        <v>323</v>
      </c>
      <c r="C55" s="1564">
        <v>0</v>
      </c>
      <c r="D55" s="1494"/>
      <c r="E55" s="1494"/>
      <c r="F55" s="1564"/>
      <c r="G55" s="1564"/>
      <c r="H55" s="1494"/>
      <c r="I55" s="1494">
        <v>0</v>
      </c>
      <c r="J55" s="1494">
        <v>0</v>
      </c>
      <c r="K55" s="1494">
        <v>0</v>
      </c>
      <c r="L55" s="1494">
        <v>0</v>
      </c>
      <c r="M55" s="1494">
        <v>0</v>
      </c>
      <c r="N55" s="1494">
        <v>0</v>
      </c>
      <c r="O55" s="1494">
        <v>0</v>
      </c>
      <c r="P55" s="1494">
        <v>0</v>
      </c>
      <c r="Q55" s="1494">
        <v>0</v>
      </c>
      <c r="R55" s="1494">
        <v>0</v>
      </c>
      <c r="S55" s="1494">
        <v>0</v>
      </c>
      <c r="T55" s="1494">
        <v>0</v>
      </c>
      <c r="U55" s="1494">
        <v>0</v>
      </c>
      <c r="V55" s="1494">
        <v>0</v>
      </c>
      <c r="W55" s="1494">
        <v>0</v>
      </c>
      <c r="X55" s="1494">
        <v>0</v>
      </c>
      <c r="Y55" s="1494">
        <v>0</v>
      </c>
      <c r="Z55" s="1494">
        <v>0</v>
      </c>
      <c r="AA55" s="1494">
        <v>0</v>
      </c>
      <c r="AB55" s="1494">
        <v>0</v>
      </c>
      <c r="AC55" s="1494">
        <v>0</v>
      </c>
      <c r="AD55" s="1494">
        <v>0</v>
      </c>
      <c r="AE55" s="1494">
        <v>0</v>
      </c>
      <c r="AF55" s="1494">
        <v>0</v>
      </c>
      <c r="AG55" s="1494">
        <v>0</v>
      </c>
      <c r="AH55" s="1494">
        <v>0</v>
      </c>
      <c r="AI55" s="1494">
        <v>0</v>
      </c>
      <c r="AJ55" s="1494">
        <v>0</v>
      </c>
      <c r="AK55" s="1494">
        <v>0</v>
      </c>
      <c r="AL55" s="1494">
        <v>0</v>
      </c>
      <c r="AM55" s="1494">
        <v>0</v>
      </c>
      <c r="AN55" s="1494">
        <v>0</v>
      </c>
      <c r="AO55" s="1494">
        <v>0</v>
      </c>
      <c r="AP55" s="1494">
        <v>0</v>
      </c>
      <c r="AQ55" s="1494">
        <v>0</v>
      </c>
      <c r="AR55" s="1494">
        <v>0</v>
      </c>
      <c r="AS55" s="1494">
        <v>0</v>
      </c>
    </row>
    <row r="56" spans="1:45">
      <c r="A56" s="1491"/>
      <c r="B56" s="1492" t="s">
        <v>324</v>
      </c>
      <c r="C56" s="1492">
        <v>0</v>
      </c>
      <c r="D56" s="1492">
        <v>0</v>
      </c>
      <c r="E56" s="1492">
        <v>0</v>
      </c>
      <c r="F56" s="1492">
        <v>0</v>
      </c>
      <c r="G56" s="1492">
        <v>0</v>
      </c>
      <c r="H56" s="1492">
        <v>0</v>
      </c>
      <c r="I56" s="1492">
        <v>0</v>
      </c>
      <c r="J56" s="1492">
        <v>0</v>
      </c>
      <c r="K56" s="1492">
        <v>0</v>
      </c>
      <c r="L56" s="1492">
        <v>0</v>
      </c>
      <c r="M56" s="1492">
        <v>0</v>
      </c>
      <c r="N56" s="1492">
        <v>0</v>
      </c>
      <c r="O56" s="1492">
        <v>0</v>
      </c>
      <c r="P56" s="1492">
        <v>0</v>
      </c>
      <c r="Q56" s="1492">
        <v>0</v>
      </c>
      <c r="R56" s="1492">
        <v>0</v>
      </c>
      <c r="S56" s="1492">
        <v>0</v>
      </c>
      <c r="T56" s="1492">
        <v>0</v>
      </c>
      <c r="U56" s="1492">
        <v>0</v>
      </c>
      <c r="V56" s="1492">
        <v>0</v>
      </c>
      <c r="W56" s="1492">
        <v>0</v>
      </c>
      <c r="X56" s="1492">
        <v>0</v>
      </c>
      <c r="Y56" s="1492">
        <v>0</v>
      </c>
      <c r="Z56" s="1492">
        <v>0</v>
      </c>
      <c r="AA56" s="1492">
        <v>0</v>
      </c>
      <c r="AB56" s="1492">
        <v>0</v>
      </c>
      <c r="AC56" s="1492">
        <v>0</v>
      </c>
      <c r="AD56" s="1492">
        <v>0</v>
      </c>
      <c r="AE56" s="1492">
        <v>0</v>
      </c>
      <c r="AF56" s="1492">
        <v>0</v>
      </c>
      <c r="AG56" s="1492">
        <v>0</v>
      </c>
      <c r="AH56" s="1492">
        <v>0</v>
      </c>
      <c r="AI56" s="1492">
        <v>0</v>
      </c>
      <c r="AJ56" s="1492">
        <v>0</v>
      </c>
      <c r="AK56" s="1492">
        <v>0</v>
      </c>
      <c r="AL56" s="1492">
        <v>0</v>
      </c>
      <c r="AM56" s="1492">
        <v>0</v>
      </c>
      <c r="AN56" s="1492">
        <v>0</v>
      </c>
      <c r="AO56" s="1492">
        <v>0</v>
      </c>
      <c r="AP56" s="1492">
        <v>0</v>
      </c>
      <c r="AQ56" s="1492">
        <v>0</v>
      </c>
      <c r="AR56" s="1492">
        <v>0</v>
      </c>
      <c r="AS56" s="1492">
        <v>0</v>
      </c>
    </row>
    <row r="57" s="1480" customFormat="1" spans="1:45">
      <c r="A57" s="1488" t="s">
        <v>199</v>
      </c>
      <c r="B57" s="1489" t="s">
        <v>234</v>
      </c>
      <c r="C57" s="1564">
        <v>0</v>
      </c>
      <c r="D57" s="1494"/>
      <c r="E57" s="1494"/>
      <c r="F57" s="1494"/>
      <c r="G57" s="1494"/>
      <c r="H57" s="1494"/>
      <c r="I57" s="1494"/>
      <c r="J57" s="1494"/>
      <c r="K57" s="1494"/>
      <c r="L57" s="1494"/>
      <c r="M57" s="1494"/>
      <c r="N57" s="1494"/>
      <c r="O57" s="1494"/>
      <c r="P57" s="1494"/>
      <c r="Q57" s="1494"/>
      <c r="R57" s="1494"/>
      <c r="S57" s="1494"/>
      <c r="T57" s="1565"/>
      <c r="U57" s="1565"/>
      <c r="V57" s="1565"/>
      <c r="W57" s="1565"/>
      <c r="X57" s="1565"/>
      <c r="Y57" s="1565"/>
      <c r="Z57" s="1565"/>
      <c r="AA57" s="1565"/>
      <c r="AB57" s="1565"/>
      <c r="AC57" s="1565"/>
      <c r="AD57" s="1565"/>
      <c r="AE57" s="1565"/>
      <c r="AF57" s="1565"/>
      <c r="AG57" s="1565"/>
      <c r="AH57" s="1565"/>
      <c r="AI57" s="1565"/>
      <c r="AJ57" s="1565"/>
      <c r="AK57" s="1565"/>
      <c r="AL57" s="1565"/>
      <c r="AM57" s="1565"/>
      <c r="AN57" s="1565"/>
      <c r="AO57" s="1565"/>
      <c r="AP57" s="1565"/>
      <c r="AQ57" s="1565"/>
      <c r="AR57" s="1565"/>
      <c r="AS57" s="1565"/>
    </row>
    <row r="58" s="1480" customFormat="1" spans="1:45">
      <c r="A58" s="1488">
        <v>0</v>
      </c>
      <c r="B58" s="1489" t="s">
        <v>323</v>
      </c>
      <c r="C58" s="1564">
        <v>0</v>
      </c>
      <c r="D58" s="1494"/>
      <c r="E58" s="1494"/>
      <c r="F58" s="1564"/>
      <c r="G58" s="1564"/>
      <c r="H58" s="1494"/>
      <c r="I58" s="1494"/>
      <c r="J58" s="1494">
        <v>0</v>
      </c>
      <c r="K58" s="1494">
        <v>0</v>
      </c>
      <c r="L58" s="1494">
        <v>0</v>
      </c>
      <c r="M58" s="1494">
        <v>0</v>
      </c>
      <c r="N58" s="1494"/>
      <c r="O58" s="1494"/>
      <c r="P58" s="1494"/>
      <c r="Q58" s="1494"/>
      <c r="R58" s="1494"/>
      <c r="S58" s="1494"/>
      <c r="T58" s="1494">
        <v>20000</v>
      </c>
      <c r="U58" s="1494">
        <v>20000</v>
      </c>
      <c r="V58" s="1494">
        <v>20000</v>
      </c>
      <c r="W58" s="1494">
        <v>20000</v>
      </c>
      <c r="X58" s="1494">
        <v>20000</v>
      </c>
      <c r="Y58" s="1494">
        <v>20000</v>
      </c>
      <c r="Z58" s="1494">
        <v>20000</v>
      </c>
      <c r="AA58" s="1494">
        <v>20000</v>
      </c>
      <c r="AB58" s="1494">
        <v>20000</v>
      </c>
      <c r="AC58" s="1494">
        <v>20000</v>
      </c>
      <c r="AD58" s="1494">
        <v>20000</v>
      </c>
      <c r="AE58" s="1494">
        <v>20000</v>
      </c>
      <c r="AF58" s="1494">
        <v>20000</v>
      </c>
      <c r="AG58" s="1494">
        <v>20000</v>
      </c>
      <c r="AH58" s="1494">
        <v>20000</v>
      </c>
      <c r="AI58" s="1494">
        <v>20000</v>
      </c>
      <c r="AJ58" s="1494">
        <v>20000</v>
      </c>
      <c r="AK58" s="1494">
        <v>20000</v>
      </c>
      <c r="AL58" s="1494">
        <v>20000</v>
      </c>
      <c r="AM58" s="1494">
        <v>20000</v>
      </c>
      <c r="AN58" s="1494">
        <v>20000</v>
      </c>
      <c r="AO58" s="1494">
        <v>20000</v>
      </c>
      <c r="AP58" s="1494">
        <v>20000</v>
      </c>
      <c r="AQ58" s="1494">
        <v>0</v>
      </c>
      <c r="AR58" s="1494">
        <v>0</v>
      </c>
      <c r="AS58" s="1494">
        <v>0</v>
      </c>
    </row>
    <row r="59" spans="1:45">
      <c r="A59" s="1491">
        <v>0</v>
      </c>
      <c r="B59" s="1492" t="s">
        <v>324</v>
      </c>
      <c r="C59" s="1492">
        <v>0</v>
      </c>
      <c r="D59" s="1492">
        <v>0</v>
      </c>
      <c r="E59" s="1492">
        <v>0</v>
      </c>
      <c r="F59" s="1492">
        <v>0</v>
      </c>
      <c r="G59" s="1492">
        <v>0</v>
      </c>
      <c r="H59" s="1492">
        <v>0</v>
      </c>
      <c r="I59" s="1492">
        <v>0</v>
      </c>
      <c r="J59" s="1492">
        <v>0</v>
      </c>
      <c r="K59" s="1492">
        <v>0</v>
      </c>
      <c r="L59" s="1492">
        <v>0</v>
      </c>
      <c r="M59" s="1492">
        <v>0</v>
      </c>
      <c r="N59" s="1492">
        <v>0</v>
      </c>
      <c r="O59" s="1492">
        <v>0</v>
      </c>
      <c r="P59" s="1492">
        <v>0</v>
      </c>
      <c r="Q59" s="1492">
        <v>0</v>
      </c>
      <c r="R59" s="1492">
        <v>0</v>
      </c>
      <c r="S59" s="1492">
        <v>0</v>
      </c>
      <c r="T59" s="1492">
        <v>0</v>
      </c>
      <c r="U59" s="1492">
        <v>0</v>
      </c>
      <c r="V59" s="1492">
        <v>0</v>
      </c>
      <c r="W59" s="1492">
        <v>0</v>
      </c>
      <c r="X59" s="1492">
        <v>0</v>
      </c>
      <c r="Y59" s="1492">
        <v>0</v>
      </c>
      <c r="Z59" s="1492">
        <v>0</v>
      </c>
      <c r="AA59" s="1492">
        <v>0</v>
      </c>
      <c r="AB59" s="1492">
        <v>0</v>
      </c>
      <c r="AC59" s="1492">
        <v>0</v>
      </c>
      <c r="AD59" s="1492">
        <v>0</v>
      </c>
      <c r="AE59" s="1492">
        <v>0</v>
      </c>
      <c r="AF59" s="1492">
        <v>0</v>
      </c>
      <c r="AG59" s="1492">
        <v>0</v>
      </c>
      <c r="AH59" s="1492">
        <v>0</v>
      </c>
      <c r="AI59" s="1492">
        <v>0</v>
      </c>
      <c r="AJ59" s="1492">
        <v>0</v>
      </c>
      <c r="AK59" s="1492">
        <v>0</v>
      </c>
      <c r="AL59" s="1492">
        <v>0</v>
      </c>
      <c r="AM59" s="1492">
        <v>0</v>
      </c>
      <c r="AN59" s="1492">
        <v>0</v>
      </c>
      <c r="AO59" s="1492">
        <v>0</v>
      </c>
      <c r="AP59" s="1492">
        <v>0</v>
      </c>
      <c r="AQ59" s="1492">
        <v>0</v>
      </c>
      <c r="AR59" s="1492">
        <v>0</v>
      </c>
      <c r="AS59" s="1492">
        <v>0</v>
      </c>
    </row>
    <row r="61" ht="12.75" spans="1:45">
      <c r="A61" s="1563" t="s">
        <v>325</v>
      </c>
      <c r="B61" s="1484"/>
      <c r="C61" s="1484"/>
      <c r="D61" s="1451" t="s">
        <v>290</v>
      </c>
      <c r="E61" s="1451" t="s">
        <v>290</v>
      </c>
      <c r="F61" s="1451" t="s">
        <v>291</v>
      </c>
      <c r="G61" s="1451" t="s">
        <v>291</v>
      </c>
      <c r="H61" s="1451" t="s">
        <v>291</v>
      </c>
      <c r="I61" s="1451" t="s">
        <v>291</v>
      </c>
      <c r="J61" s="1451" t="s">
        <v>292</v>
      </c>
      <c r="K61" s="1451" t="s">
        <v>292</v>
      </c>
      <c r="L61" s="1451" t="s">
        <v>292</v>
      </c>
      <c r="M61" s="1451" t="s">
        <v>292</v>
      </c>
      <c r="N61" s="1451" t="s">
        <v>293</v>
      </c>
      <c r="O61" s="1451" t="s">
        <v>293</v>
      </c>
      <c r="P61" s="1451" t="s">
        <v>293</v>
      </c>
      <c r="Q61" s="1451" t="s">
        <v>293</v>
      </c>
      <c r="R61" s="1451" t="s">
        <v>294</v>
      </c>
      <c r="S61" s="1451" t="s">
        <v>294</v>
      </c>
      <c r="T61" s="1451" t="s">
        <v>294</v>
      </c>
      <c r="U61" s="1451" t="s">
        <v>294</v>
      </c>
      <c r="V61" s="1451" t="s">
        <v>295</v>
      </c>
      <c r="W61" s="1451" t="s">
        <v>295</v>
      </c>
      <c r="X61" s="1451" t="s">
        <v>295</v>
      </c>
      <c r="Y61" s="1451" t="s">
        <v>295</v>
      </c>
      <c r="Z61" s="1451" t="s">
        <v>296</v>
      </c>
      <c r="AA61" s="1451" t="s">
        <v>296</v>
      </c>
      <c r="AB61" s="1451" t="s">
        <v>296</v>
      </c>
      <c r="AC61" s="1451" t="s">
        <v>296</v>
      </c>
      <c r="AD61" s="1451" t="s">
        <v>297</v>
      </c>
      <c r="AE61" s="1451" t="s">
        <v>297</v>
      </c>
      <c r="AF61" s="1451" t="s">
        <v>297</v>
      </c>
      <c r="AG61" s="1451" t="s">
        <v>297</v>
      </c>
      <c r="AH61" s="1451" t="s">
        <v>298</v>
      </c>
      <c r="AI61" s="1451" t="s">
        <v>298</v>
      </c>
      <c r="AJ61" s="1451" t="s">
        <v>298</v>
      </c>
      <c r="AK61" s="1451" t="s">
        <v>298</v>
      </c>
      <c r="AL61" s="1451" t="s">
        <v>299</v>
      </c>
      <c r="AM61" s="1451" t="s">
        <v>299</v>
      </c>
      <c r="AN61" s="1451" t="s">
        <v>299</v>
      </c>
      <c r="AO61" s="1451" t="s">
        <v>299</v>
      </c>
      <c r="AP61" s="1451" t="s">
        <v>300</v>
      </c>
      <c r="AQ61" s="1451" t="s">
        <v>300</v>
      </c>
      <c r="AR61" s="1451" t="s">
        <v>300</v>
      </c>
      <c r="AS61" s="1451" t="s">
        <v>300</v>
      </c>
    </row>
    <row r="62" ht="12.75" spans="1:45">
      <c r="A62" s="1483"/>
      <c r="B62" s="1484"/>
      <c r="C62" s="1484" t="s">
        <v>301</v>
      </c>
      <c r="D62" s="1454" t="s">
        <v>119</v>
      </c>
      <c r="E62" s="1454" t="s">
        <v>120</v>
      </c>
      <c r="F62" s="1454" t="s">
        <v>326</v>
      </c>
      <c r="G62" s="1454" t="s">
        <v>327</v>
      </c>
      <c r="H62" s="1454" t="s">
        <v>328</v>
      </c>
      <c r="I62" s="1454" t="s">
        <v>329</v>
      </c>
      <c r="J62" s="1454" t="s">
        <v>125</v>
      </c>
      <c r="K62" s="1454" t="s">
        <v>126</v>
      </c>
      <c r="L62" s="1454" t="s">
        <v>127</v>
      </c>
      <c r="M62" s="1454" t="s">
        <v>128</v>
      </c>
      <c r="N62" s="1454" t="s">
        <v>129</v>
      </c>
      <c r="O62" s="1454" t="s">
        <v>130</v>
      </c>
      <c r="P62" s="1454" t="s">
        <v>131</v>
      </c>
      <c r="Q62" s="1454" t="s">
        <v>132</v>
      </c>
      <c r="R62" s="1454" t="s">
        <v>133</v>
      </c>
      <c r="S62" s="1454" t="s">
        <v>134</v>
      </c>
      <c r="T62" s="1454" t="s">
        <v>135</v>
      </c>
      <c r="U62" s="1454" t="s">
        <v>136</v>
      </c>
      <c r="V62" s="1454" t="s">
        <v>137</v>
      </c>
      <c r="W62" s="1454" t="s">
        <v>138</v>
      </c>
      <c r="X62" s="1454" t="s">
        <v>302</v>
      </c>
      <c r="Y62" s="1454" t="s">
        <v>303</v>
      </c>
      <c r="Z62" s="1454" t="s">
        <v>271</v>
      </c>
      <c r="AA62" s="1454" t="s">
        <v>264</v>
      </c>
      <c r="AB62" s="1454" t="s">
        <v>304</v>
      </c>
      <c r="AC62" s="1454" t="s">
        <v>305</v>
      </c>
      <c r="AD62" s="1454" t="s">
        <v>306</v>
      </c>
      <c r="AE62" s="1454" t="s">
        <v>307</v>
      </c>
      <c r="AF62" s="1454" t="s">
        <v>308</v>
      </c>
      <c r="AG62" s="1454" t="s">
        <v>309</v>
      </c>
      <c r="AH62" s="1454" t="s">
        <v>310</v>
      </c>
      <c r="AI62" s="1454" t="s">
        <v>311</v>
      </c>
      <c r="AJ62" s="1454" t="s">
        <v>312</v>
      </c>
      <c r="AK62" s="1454" t="s">
        <v>313</v>
      </c>
      <c r="AL62" s="1454" t="s">
        <v>314</v>
      </c>
      <c r="AM62" s="1454" t="s">
        <v>315</v>
      </c>
      <c r="AN62" s="1454" t="s">
        <v>316</v>
      </c>
      <c r="AO62" s="1454" t="s">
        <v>317</v>
      </c>
      <c r="AP62" s="1454" t="s">
        <v>318</v>
      </c>
      <c r="AQ62" s="1454" t="s">
        <v>319</v>
      </c>
      <c r="AR62" s="1454" t="s">
        <v>320</v>
      </c>
      <c r="AS62" s="1454" t="s">
        <v>321</v>
      </c>
    </row>
    <row r="63" spans="1:45">
      <c r="A63" s="1485" t="s">
        <v>322</v>
      </c>
      <c r="B63" s="1485" t="s">
        <v>234</v>
      </c>
      <c r="C63" s="1485">
        <v>204543.482386762</v>
      </c>
      <c r="D63" s="1485">
        <v>0</v>
      </c>
      <c r="E63" s="1485">
        <v>0</v>
      </c>
      <c r="F63" s="1485">
        <v>0</v>
      </c>
      <c r="G63" s="1485">
        <v>0</v>
      </c>
      <c r="H63" s="1485">
        <v>0</v>
      </c>
      <c r="I63" s="1485">
        <v>0</v>
      </c>
      <c r="J63" s="1485">
        <v>0</v>
      </c>
      <c r="K63" s="1485">
        <v>0</v>
      </c>
      <c r="L63" s="1485">
        <v>0</v>
      </c>
      <c r="M63" s="1485">
        <v>0</v>
      </c>
      <c r="N63" s="1485">
        <v>0</v>
      </c>
      <c r="O63" s="1485">
        <v>0</v>
      </c>
      <c r="P63" s="1485">
        <v>0</v>
      </c>
      <c r="Q63" s="1485">
        <v>23544.1852983453</v>
      </c>
      <c r="R63" s="1485">
        <v>23544.1852983453</v>
      </c>
      <c r="S63" s="1485">
        <v>23544.1852983453</v>
      </c>
      <c r="T63" s="1485">
        <v>23544.1852983453</v>
      </c>
      <c r="U63" s="1485">
        <v>23544.1852983453</v>
      </c>
      <c r="V63" s="1485">
        <v>23544.1852983453</v>
      </c>
      <c r="W63" s="1485">
        <v>23544.1852983453</v>
      </c>
      <c r="X63" s="1485">
        <v>39734.1852983453</v>
      </c>
      <c r="Y63" s="1485">
        <v>0</v>
      </c>
      <c r="Z63" s="1485">
        <v>0</v>
      </c>
      <c r="AA63" s="1485">
        <v>0</v>
      </c>
      <c r="AB63" s="1485">
        <v>0</v>
      </c>
      <c r="AC63" s="1485">
        <v>0</v>
      </c>
      <c r="AD63" s="1485">
        <v>0</v>
      </c>
      <c r="AE63" s="1485">
        <v>0</v>
      </c>
      <c r="AF63" s="1485">
        <v>0</v>
      </c>
      <c r="AG63" s="1485">
        <v>0</v>
      </c>
      <c r="AH63" s="1485">
        <v>0</v>
      </c>
      <c r="AI63" s="1485">
        <v>0</v>
      </c>
      <c r="AJ63" s="1485">
        <v>0</v>
      </c>
      <c r="AK63" s="1485">
        <v>0</v>
      </c>
      <c r="AL63" s="1485">
        <v>0</v>
      </c>
      <c r="AM63" s="1485">
        <v>0</v>
      </c>
      <c r="AN63" s="1485">
        <v>0</v>
      </c>
      <c r="AO63" s="1485">
        <v>0</v>
      </c>
      <c r="AP63" s="1485">
        <v>0</v>
      </c>
      <c r="AQ63" s="1485">
        <v>0</v>
      </c>
      <c r="AR63" s="1485">
        <v>0</v>
      </c>
      <c r="AS63" s="1485">
        <v>0</v>
      </c>
    </row>
    <row r="64" spans="1:45">
      <c r="A64" s="1485"/>
      <c r="B64" s="1485" t="s">
        <v>323</v>
      </c>
      <c r="C64" s="1485">
        <v>11303.7726966532</v>
      </c>
      <c r="D64" s="1485">
        <v>0</v>
      </c>
      <c r="E64" s="1485">
        <v>0</v>
      </c>
      <c r="F64" s="1485">
        <v>0</v>
      </c>
      <c r="G64" s="1485">
        <v>0</v>
      </c>
      <c r="H64" s="1485">
        <v>0</v>
      </c>
      <c r="I64" s="1485">
        <v>0</v>
      </c>
      <c r="J64" s="1485">
        <v>0</v>
      </c>
      <c r="K64" s="1485">
        <v>0</v>
      </c>
      <c r="L64" s="1485">
        <v>0</v>
      </c>
      <c r="M64" s="1485">
        <v>0</v>
      </c>
      <c r="N64" s="1485">
        <v>0</v>
      </c>
      <c r="O64" s="1485">
        <v>0</v>
      </c>
      <c r="P64" s="1485">
        <v>0</v>
      </c>
      <c r="Q64" s="1485">
        <v>11231.3526462407</v>
      </c>
      <c r="R64" s="1485">
        <v>11231.3526462407</v>
      </c>
      <c r="S64" s="1485">
        <v>11231.3526462407</v>
      </c>
      <c r="T64" s="1485">
        <v>11231.3526462407</v>
      </c>
      <c r="U64" s="1485">
        <v>11231.3526462407</v>
      </c>
      <c r="V64" s="1485">
        <v>11231.3526462407</v>
      </c>
      <c r="W64" s="1485">
        <v>11231.3526462407</v>
      </c>
      <c r="X64" s="1485">
        <v>11604.1562961655</v>
      </c>
      <c r="Y64" s="1485">
        <v>0</v>
      </c>
      <c r="Z64" s="1485">
        <v>0</v>
      </c>
      <c r="AA64" s="1485">
        <v>0</v>
      </c>
      <c r="AB64" s="1485">
        <v>0</v>
      </c>
      <c r="AC64" s="1485">
        <v>0</v>
      </c>
      <c r="AD64" s="1485">
        <v>0</v>
      </c>
      <c r="AE64" s="1485">
        <v>0</v>
      </c>
      <c r="AF64" s="1485">
        <v>0</v>
      </c>
      <c r="AG64" s="1485">
        <v>0</v>
      </c>
      <c r="AH64" s="1485">
        <v>0</v>
      </c>
      <c r="AI64" s="1485">
        <v>0</v>
      </c>
      <c r="AJ64" s="1485">
        <v>0</v>
      </c>
      <c r="AK64" s="1485">
        <v>0</v>
      </c>
      <c r="AL64" s="1485">
        <v>0</v>
      </c>
      <c r="AM64" s="1485">
        <v>0</v>
      </c>
      <c r="AN64" s="1485">
        <v>0</v>
      </c>
      <c r="AO64" s="1485">
        <v>0</v>
      </c>
      <c r="AP64" s="1485">
        <v>0</v>
      </c>
      <c r="AQ64" s="1485">
        <v>0</v>
      </c>
      <c r="AR64" s="1485">
        <v>0</v>
      </c>
      <c r="AS64" s="1485">
        <v>0</v>
      </c>
    </row>
    <row r="65" spans="1:45">
      <c r="A65" s="1485"/>
      <c r="B65" s="1485" t="s">
        <v>324</v>
      </c>
      <c r="C65" s="1485">
        <v>231211.303148186</v>
      </c>
      <c r="D65" s="1485">
        <v>0</v>
      </c>
      <c r="E65" s="1485">
        <v>0</v>
      </c>
      <c r="F65" s="1485">
        <v>0</v>
      </c>
      <c r="G65" s="1485">
        <v>0</v>
      </c>
      <c r="H65" s="1485">
        <v>0</v>
      </c>
      <c r="I65" s="1485">
        <v>0</v>
      </c>
      <c r="J65" s="1485">
        <v>0</v>
      </c>
      <c r="K65" s="1485">
        <v>0</v>
      </c>
      <c r="L65" s="1485">
        <v>0</v>
      </c>
      <c r="M65" s="1485">
        <v>0</v>
      </c>
      <c r="N65" s="1485">
        <v>0</v>
      </c>
      <c r="O65" s="1485">
        <v>0</v>
      </c>
      <c r="P65" s="1485">
        <v>0</v>
      </c>
      <c r="Q65" s="1485">
        <v>26443.3047854151</v>
      </c>
      <c r="R65" s="1485">
        <v>26443.3047854151</v>
      </c>
      <c r="S65" s="1485">
        <v>26443.3047854151</v>
      </c>
      <c r="T65" s="1485">
        <v>26443.3047854151</v>
      </c>
      <c r="U65" s="1485">
        <v>26443.3047854151</v>
      </c>
      <c r="V65" s="1485">
        <v>26443.3047854151</v>
      </c>
      <c r="W65" s="1485">
        <v>26443.3047854151</v>
      </c>
      <c r="X65" s="1485">
        <v>46108.16965028</v>
      </c>
      <c r="Y65" s="1485">
        <v>0</v>
      </c>
      <c r="Z65" s="1485">
        <v>0</v>
      </c>
      <c r="AA65" s="1485">
        <v>0</v>
      </c>
      <c r="AB65" s="1485">
        <v>0</v>
      </c>
      <c r="AC65" s="1485">
        <v>0</v>
      </c>
      <c r="AD65" s="1485">
        <v>0</v>
      </c>
      <c r="AE65" s="1485">
        <v>0</v>
      </c>
      <c r="AF65" s="1485">
        <v>0</v>
      </c>
      <c r="AG65" s="1485">
        <v>0</v>
      </c>
      <c r="AH65" s="1485">
        <v>0</v>
      </c>
      <c r="AI65" s="1485">
        <v>0</v>
      </c>
      <c r="AJ65" s="1485">
        <v>0</v>
      </c>
      <c r="AK65" s="1485">
        <v>0</v>
      </c>
      <c r="AL65" s="1485">
        <v>0</v>
      </c>
      <c r="AM65" s="1485">
        <v>0</v>
      </c>
      <c r="AN65" s="1485">
        <v>0</v>
      </c>
      <c r="AO65" s="1485">
        <v>0</v>
      </c>
      <c r="AP65" s="1485">
        <v>0</v>
      </c>
      <c r="AQ65" s="1485">
        <v>0</v>
      </c>
      <c r="AR65" s="1485">
        <v>0</v>
      </c>
      <c r="AS65" s="1485">
        <v>0</v>
      </c>
    </row>
    <row r="66" spans="1:45">
      <c r="A66" s="1487" t="s">
        <v>50</v>
      </c>
      <c r="B66" s="1484" t="s">
        <v>234</v>
      </c>
      <c r="C66" s="1483">
        <v>94176.7411933811</v>
      </c>
      <c r="D66" s="1483">
        <v>0</v>
      </c>
      <c r="E66" s="1483">
        <v>0</v>
      </c>
      <c r="F66" s="1483">
        <v>0</v>
      </c>
      <c r="G66" s="1483">
        <v>0</v>
      </c>
      <c r="H66" s="1483">
        <v>0</v>
      </c>
      <c r="I66" s="1483">
        <v>0</v>
      </c>
      <c r="J66" s="1483">
        <v>0</v>
      </c>
      <c r="K66" s="1483">
        <v>0</v>
      </c>
      <c r="L66" s="1483">
        <v>0</v>
      </c>
      <c r="M66" s="1483">
        <v>0</v>
      </c>
      <c r="N66" s="1483">
        <v>0</v>
      </c>
      <c r="O66" s="1483">
        <v>0</v>
      </c>
      <c r="P66" s="1483">
        <v>0</v>
      </c>
      <c r="Q66" s="1483">
        <v>23544.1852983453</v>
      </c>
      <c r="R66" s="1483">
        <v>23544.1852983453</v>
      </c>
      <c r="S66" s="1483">
        <v>23544.1852983453</v>
      </c>
      <c r="T66" s="1483">
        <v>23544.1852983453</v>
      </c>
      <c r="U66" s="1483">
        <v>0</v>
      </c>
      <c r="V66" s="1483">
        <v>0</v>
      </c>
      <c r="W66" s="1483">
        <v>0</v>
      </c>
      <c r="X66" s="1483">
        <v>0</v>
      </c>
      <c r="Y66" s="1483">
        <v>0</v>
      </c>
      <c r="Z66" s="1483">
        <v>0</v>
      </c>
      <c r="AA66" s="1483">
        <v>0</v>
      </c>
      <c r="AB66" s="1483">
        <v>0</v>
      </c>
      <c r="AC66" s="1483">
        <v>0</v>
      </c>
      <c r="AD66" s="1483">
        <v>0</v>
      </c>
      <c r="AE66" s="1483">
        <v>0</v>
      </c>
      <c r="AF66" s="1483">
        <v>0</v>
      </c>
      <c r="AG66" s="1483">
        <v>0</v>
      </c>
      <c r="AH66" s="1483">
        <v>0</v>
      </c>
      <c r="AI66" s="1483">
        <v>0</v>
      </c>
      <c r="AJ66" s="1483">
        <v>0</v>
      </c>
      <c r="AK66" s="1483">
        <v>0</v>
      </c>
      <c r="AL66" s="1483">
        <v>0</v>
      </c>
      <c r="AM66" s="1483">
        <v>0</v>
      </c>
      <c r="AN66" s="1483">
        <v>0</v>
      </c>
      <c r="AO66" s="1483">
        <v>0</v>
      </c>
      <c r="AP66" s="1483">
        <v>0</v>
      </c>
      <c r="AQ66" s="1483">
        <v>0</v>
      </c>
      <c r="AR66" s="1483">
        <v>0</v>
      </c>
      <c r="AS66" s="1483">
        <v>0</v>
      </c>
    </row>
    <row r="67" spans="1:45">
      <c r="A67" s="1487"/>
      <c r="B67" s="1484" t="s">
        <v>323</v>
      </c>
      <c r="C67" s="1483">
        <v>11231.3526462407</v>
      </c>
      <c r="D67" s="1483">
        <v>0</v>
      </c>
      <c r="E67" s="1483">
        <v>0</v>
      </c>
      <c r="F67" s="1483">
        <v>0</v>
      </c>
      <c r="G67" s="1483">
        <v>0</v>
      </c>
      <c r="H67" s="1483">
        <v>0</v>
      </c>
      <c r="I67" s="1483">
        <v>0</v>
      </c>
      <c r="J67" s="1483">
        <v>0</v>
      </c>
      <c r="K67" s="1483">
        <v>0</v>
      </c>
      <c r="L67" s="1483">
        <v>0</v>
      </c>
      <c r="M67" s="1483">
        <v>0</v>
      </c>
      <c r="N67" s="1483">
        <v>0</v>
      </c>
      <c r="O67" s="1483">
        <v>0</v>
      </c>
      <c r="P67" s="1483">
        <v>0</v>
      </c>
      <c r="Q67" s="1483">
        <v>11231.3526462407</v>
      </c>
      <c r="R67" s="1483">
        <v>11231.3526462407</v>
      </c>
      <c r="S67" s="1483">
        <v>11231.3526462407</v>
      </c>
      <c r="T67" s="1483">
        <v>11231.3526462407</v>
      </c>
      <c r="U67" s="1483">
        <v>0</v>
      </c>
      <c r="V67" s="1483">
        <v>0</v>
      </c>
      <c r="W67" s="1483">
        <v>0</v>
      </c>
      <c r="X67" s="1483">
        <v>0</v>
      </c>
      <c r="Y67" s="1483">
        <v>0</v>
      </c>
      <c r="Z67" s="1483">
        <v>0</v>
      </c>
      <c r="AA67" s="1483">
        <v>0</v>
      </c>
      <c r="AB67" s="1483">
        <v>0</v>
      </c>
      <c r="AC67" s="1483">
        <v>0</v>
      </c>
      <c r="AD67" s="1483">
        <v>0</v>
      </c>
      <c r="AE67" s="1483">
        <v>0</v>
      </c>
      <c r="AF67" s="1483">
        <v>0</v>
      </c>
      <c r="AG67" s="1483">
        <v>0</v>
      </c>
      <c r="AH67" s="1483">
        <v>0</v>
      </c>
      <c r="AI67" s="1483">
        <v>0</v>
      </c>
      <c r="AJ67" s="1483">
        <v>0</v>
      </c>
      <c r="AK67" s="1483">
        <v>0</v>
      </c>
      <c r="AL67" s="1483">
        <v>0</v>
      </c>
      <c r="AM67" s="1483">
        <v>0</v>
      </c>
      <c r="AN67" s="1483">
        <v>0</v>
      </c>
      <c r="AO67" s="1483">
        <v>0</v>
      </c>
      <c r="AP67" s="1483">
        <v>0</v>
      </c>
      <c r="AQ67" s="1483">
        <v>0</v>
      </c>
      <c r="AR67" s="1483">
        <v>0</v>
      </c>
      <c r="AS67" s="1483">
        <v>0</v>
      </c>
    </row>
    <row r="68" spans="1:45">
      <c r="A68" s="1487"/>
      <c r="B68" s="1484" t="s">
        <v>324</v>
      </c>
      <c r="C68" s="1483">
        <v>105773.21914166</v>
      </c>
      <c r="D68" s="1483">
        <v>0</v>
      </c>
      <c r="E68" s="1483">
        <v>0</v>
      </c>
      <c r="F68" s="1483">
        <v>0</v>
      </c>
      <c r="G68" s="1483">
        <v>0</v>
      </c>
      <c r="H68" s="1483">
        <v>0</v>
      </c>
      <c r="I68" s="1483">
        <v>0</v>
      </c>
      <c r="J68" s="1483">
        <v>0</v>
      </c>
      <c r="K68" s="1483">
        <v>0</v>
      </c>
      <c r="L68" s="1483">
        <v>0</v>
      </c>
      <c r="M68" s="1483">
        <v>0</v>
      </c>
      <c r="N68" s="1483">
        <v>0</v>
      </c>
      <c r="O68" s="1483">
        <v>0</v>
      </c>
      <c r="P68" s="1483">
        <v>0</v>
      </c>
      <c r="Q68" s="1483">
        <v>26443.3047854151</v>
      </c>
      <c r="R68" s="1483">
        <v>26443.3047854151</v>
      </c>
      <c r="S68" s="1483">
        <v>26443.3047854151</v>
      </c>
      <c r="T68" s="1483">
        <v>26443.3047854151</v>
      </c>
      <c r="U68" s="1483">
        <v>0</v>
      </c>
      <c r="V68" s="1483">
        <v>0</v>
      </c>
      <c r="W68" s="1483">
        <v>0</v>
      </c>
      <c r="X68" s="1483">
        <v>0</v>
      </c>
      <c r="Y68" s="1483">
        <v>0</v>
      </c>
      <c r="Z68" s="1483">
        <v>0</v>
      </c>
      <c r="AA68" s="1483">
        <v>0</v>
      </c>
      <c r="AB68" s="1483">
        <v>0</v>
      </c>
      <c r="AC68" s="1483">
        <v>0</v>
      </c>
      <c r="AD68" s="1483">
        <v>0</v>
      </c>
      <c r="AE68" s="1483">
        <v>0</v>
      </c>
      <c r="AF68" s="1483">
        <v>0</v>
      </c>
      <c r="AG68" s="1483">
        <v>0</v>
      </c>
      <c r="AH68" s="1483">
        <v>0</v>
      </c>
      <c r="AI68" s="1483">
        <v>0</v>
      </c>
      <c r="AJ68" s="1483">
        <v>0</v>
      </c>
      <c r="AK68" s="1483">
        <v>0</v>
      </c>
      <c r="AL68" s="1483">
        <v>0</v>
      </c>
      <c r="AM68" s="1483">
        <v>0</v>
      </c>
      <c r="AN68" s="1483">
        <v>0</v>
      </c>
      <c r="AO68" s="1483">
        <v>0</v>
      </c>
      <c r="AP68" s="1483">
        <v>0</v>
      </c>
      <c r="AQ68" s="1483">
        <v>0</v>
      </c>
      <c r="AR68" s="1483">
        <v>0</v>
      </c>
      <c r="AS68" s="1483">
        <v>0</v>
      </c>
    </row>
    <row r="69" s="1480" customFormat="1" spans="1:46">
      <c r="A69" s="1488" t="s">
        <v>202</v>
      </c>
      <c r="B69" s="1489" t="s">
        <v>234</v>
      </c>
      <c r="C69" s="1564">
        <v>576.741193381094</v>
      </c>
      <c r="D69" s="1494">
        <v>0</v>
      </c>
      <c r="E69" s="1494">
        <v>0</v>
      </c>
      <c r="F69" s="1494">
        <v>0</v>
      </c>
      <c r="G69" s="1494">
        <v>0</v>
      </c>
      <c r="H69" s="1494">
        <v>0</v>
      </c>
      <c r="I69" s="1494">
        <v>0</v>
      </c>
      <c r="J69" s="1494">
        <v>0</v>
      </c>
      <c r="K69" s="1494">
        <v>0</v>
      </c>
      <c r="L69" s="1494">
        <v>0</v>
      </c>
      <c r="M69" s="1494">
        <v>0</v>
      </c>
      <c r="N69" s="1494">
        <v>0</v>
      </c>
      <c r="O69" s="1494">
        <v>0</v>
      </c>
      <c r="P69" s="1494">
        <v>0</v>
      </c>
      <c r="Q69" s="1494">
        <v>144.185298345273</v>
      </c>
      <c r="R69" s="1494">
        <v>144.185298345273</v>
      </c>
      <c r="S69" s="1494">
        <v>144.185298345273</v>
      </c>
      <c r="T69" s="1494">
        <v>144.185298345273</v>
      </c>
      <c r="U69" s="1494">
        <v>0</v>
      </c>
      <c r="V69" s="1494">
        <v>0</v>
      </c>
      <c r="W69" s="1494">
        <v>0</v>
      </c>
      <c r="X69" s="1494">
        <v>0</v>
      </c>
      <c r="Y69" s="1494">
        <v>0</v>
      </c>
      <c r="Z69" s="1494">
        <v>0</v>
      </c>
      <c r="AA69" s="1494">
        <v>0</v>
      </c>
      <c r="AB69" s="1494">
        <v>0</v>
      </c>
      <c r="AC69" s="1494">
        <v>0</v>
      </c>
      <c r="AD69" s="1494">
        <v>0</v>
      </c>
      <c r="AE69" s="1494">
        <v>0</v>
      </c>
      <c r="AF69" s="1494">
        <v>0</v>
      </c>
      <c r="AG69" s="1494">
        <v>0</v>
      </c>
      <c r="AH69" s="1494">
        <v>0</v>
      </c>
      <c r="AI69" s="1565">
        <v>0</v>
      </c>
      <c r="AJ69" s="1565">
        <v>0</v>
      </c>
      <c r="AK69" s="1565">
        <v>0</v>
      </c>
      <c r="AL69" s="1565">
        <v>0</v>
      </c>
      <c r="AM69" s="1565">
        <v>0</v>
      </c>
      <c r="AN69" s="1565">
        <v>0</v>
      </c>
      <c r="AO69" s="1565">
        <v>0</v>
      </c>
      <c r="AP69" s="1565">
        <v>0</v>
      </c>
      <c r="AQ69" s="1565">
        <v>0</v>
      </c>
      <c r="AR69" s="1565">
        <v>0</v>
      </c>
      <c r="AS69" s="1565">
        <v>0</v>
      </c>
      <c r="AT69" s="1480">
        <v>0</v>
      </c>
    </row>
    <row r="70" s="1480" customFormat="1" spans="1:45">
      <c r="A70" s="1488"/>
      <c r="B70" s="1489" t="s">
        <v>323</v>
      </c>
      <c r="C70" s="1564">
        <v>54054.054054054</v>
      </c>
      <c r="D70" s="1494">
        <v>0</v>
      </c>
      <c r="E70" s="1494">
        <v>0</v>
      </c>
      <c r="F70" s="1494">
        <v>0</v>
      </c>
      <c r="G70" s="1494">
        <v>0</v>
      </c>
      <c r="H70" s="1494">
        <v>0</v>
      </c>
      <c r="I70" s="1494">
        <v>54054.054054054</v>
      </c>
      <c r="J70" s="1494">
        <v>54054.054054054</v>
      </c>
      <c r="K70" s="1494">
        <v>54054.054054054</v>
      </c>
      <c r="L70" s="1494">
        <v>54054.054054054</v>
      </c>
      <c r="M70" s="1494">
        <v>54054.054054054</v>
      </c>
      <c r="N70" s="1494">
        <v>54054.054054054</v>
      </c>
      <c r="O70" s="1494">
        <v>54054.054054054</v>
      </c>
      <c r="P70" s="1494">
        <v>54054.054054054</v>
      </c>
      <c r="Q70" s="1494">
        <v>54054.054054054</v>
      </c>
      <c r="R70" s="1494">
        <v>54054.054054054</v>
      </c>
      <c r="S70" s="1494">
        <v>54054.054054054</v>
      </c>
      <c r="T70" s="1494">
        <v>54054.054054054</v>
      </c>
      <c r="U70" s="1494">
        <v>54054.054054054</v>
      </c>
      <c r="V70" s="1494">
        <v>54054.054054054</v>
      </c>
      <c r="W70" s="1494">
        <v>54054.054054054</v>
      </c>
      <c r="X70" s="1494">
        <v>54054.054054054</v>
      </c>
      <c r="Y70" s="1494">
        <v>54054.054054054</v>
      </c>
      <c r="Z70" s="1494">
        <v>54054.054054054</v>
      </c>
      <c r="AA70" s="1494">
        <v>54054.054054054</v>
      </c>
      <c r="AB70" s="1494">
        <v>54054.054054054</v>
      </c>
      <c r="AC70" s="1494">
        <v>54054.054054054</v>
      </c>
      <c r="AD70" s="1494">
        <v>54054.054054054</v>
      </c>
      <c r="AE70" s="1494">
        <v>54054.054054054</v>
      </c>
      <c r="AF70" s="1494">
        <v>54054.054054054</v>
      </c>
      <c r="AG70" s="1494">
        <v>54054.054054054</v>
      </c>
      <c r="AH70" s="1494">
        <v>54054.054054054</v>
      </c>
      <c r="AI70" s="1494">
        <v>54054.054054054</v>
      </c>
      <c r="AJ70" s="1494">
        <v>54054.054054054</v>
      </c>
      <c r="AK70" s="1494">
        <v>54054.054054054</v>
      </c>
      <c r="AL70" s="1494">
        <v>54054.054054054</v>
      </c>
      <c r="AM70" s="1494">
        <v>54054.054054054</v>
      </c>
      <c r="AN70" s="1494">
        <v>54054.054054054</v>
      </c>
      <c r="AO70" s="1494">
        <v>54054.054054054</v>
      </c>
      <c r="AP70" s="1494">
        <v>54054.054054054</v>
      </c>
      <c r="AQ70" s="1494">
        <v>54054.054054054</v>
      </c>
      <c r="AR70" s="1494">
        <v>54054.054054054</v>
      </c>
      <c r="AS70" s="1494">
        <v>54054.054054054</v>
      </c>
    </row>
    <row r="71" spans="1:45">
      <c r="A71" s="1491"/>
      <c r="B71" s="1492" t="s">
        <v>324</v>
      </c>
      <c r="C71" s="1492">
        <v>3117.51996422213</v>
      </c>
      <c r="D71" s="1492">
        <v>0</v>
      </c>
      <c r="E71" s="1492">
        <v>0</v>
      </c>
      <c r="F71" s="1492">
        <v>0</v>
      </c>
      <c r="G71" s="1492">
        <v>0</v>
      </c>
      <c r="H71" s="1492">
        <v>0</v>
      </c>
      <c r="I71" s="1492">
        <v>0</v>
      </c>
      <c r="J71" s="1492">
        <v>0</v>
      </c>
      <c r="K71" s="1492">
        <v>0</v>
      </c>
      <c r="L71" s="1492">
        <v>0</v>
      </c>
      <c r="M71" s="1492">
        <v>0</v>
      </c>
      <c r="N71" s="1492">
        <v>0</v>
      </c>
      <c r="O71" s="1492">
        <v>0</v>
      </c>
      <c r="P71" s="1492">
        <v>0</v>
      </c>
      <c r="Q71" s="1492">
        <v>779.379991055532</v>
      </c>
      <c r="R71" s="1492">
        <v>779.379991055532</v>
      </c>
      <c r="S71" s="1492">
        <v>779.379991055532</v>
      </c>
      <c r="T71" s="1492">
        <v>779.379991055532</v>
      </c>
      <c r="U71" s="1492">
        <v>0</v>
      </c>
      <c r="V71" s="1492">
        <v>0</v>
      </c>
      <c r="W71" s="1492">
        <v>0</v>
      </c>
      <c r="X71" s="1492">
        <v>0</v>
      </c>
      <c r="Y71" s="1492">
        <v>0</v>
      </c>
      <c r="Z71" s="1492">
        <v>0</v>
      </c>
      <c r="AA71" s="1492">
        <v>0</v>
      </c>
      <c r="AB71" s="1492">
        <v>0</v>
      </c>
      <c r="AC71" s="1492">
        <v>0</v>
      </c>
      <c r="AD71" s="1492">
        <v>0</v>
      </c>
      <c r="AE71" s="1492">
        <v>0</v>
      </c>
      <c r="AF71" s="1492">
        <v>0</v>
      </c>
      <c r="AG71" s="1492">
        <v>0</v>
      </c>
      <c r="AH71" s="1492">
        <v>0</v>
      </c>
      <c r="AI71" s="1492">
        <v>0</v>
      </c>
      <c r="AJ71" s="1492">
        <v>0</v>
      </c>
      <c r="AK71" s="1492">
        <v>0</v>
      </c>
      <c r="AL71" s="1492">
        <v>0</v>
      </c>
      <c r="AM71" s="1492">
        <v>0</v>
      </c>
      <c r="AN71" s="1492">
        <v>0</v>
      </c>
      <c r="AO71" s="1492">
        <v>0</v>
      </c>
      <c r="AP71" s="1492">
        <v>0</v>
      </c>
      <c r="AQ71" s="1492">
        <v>0</v>
      </c>
      <c r="AR71" s="1492">
        <v>0</v>
      </c>
      <c r="AS71" s="1492">
        <v>0</v>
      </c>
    </row>
    <row r="72" s="1480" customFormat="1" spans="1:45">
      <c r="A72" s="1488" t="s">
        <v>195</v>
      </c>
      <c r="B72" s="1489" t="s">
        <v>234</v>
      </c>
      <c r="C72" s="1564">
        <v>93600</v>
      </c>
      <c r="D72" s="1494">
        <v>0</v>
      </c>
      <c r="E72" s="1494">
        <v>0</v>
      </c>
      <c r="F72" s="1494">
        <v>0</v>
      </c>
      <c r="G72" s="1494">
        <v>0</v>
      </c>
      <c r="H72" s="1494">
        <v>0</v>
      </c>
      <c r="I72" s="1494">
        <v>0</v>
      </c>
      <c r="J72" s="1494">
        <v>0</v>
      </c>
      <c r="K72" s="1494">
        <v>0</v>
      </c>
      <c r="L72" s="1494">
        <v>0</v>
      </c>
      <c r="M72" s="1494">
        <v>0</v>
      </c>
      <c r="N72" s="1494">
        <v>0</v>
      </c>
      <c r="O72" s="1494">
        <v>0</v>
      </c>
      <c r="P72" s="1494">
        <v>0</v>
      </c>
      <c r="Q72" s="1494">
        <v>23400</v>
      </c>
      <c r="R72" s="1494">
        <v>23400</v>
      </c>
      <c r="S72" s="1494">
        <v>23400</v>
      </c>
      <c r="T72" s="1565">
        <v>23400</v>
      </c>
      <c r="U72" s="1565">
        <v>0</v>
      </c>
      <c r="V72" s="1565">
        <v>0</v>
      </c>
      <c r="W72" s="1565">
        <v>0</v>
      </c>
      <c r="X72" s="1565">
        <v>0</v>
      </c>
      <c r="Y72" s="1565">
        <v>0</v>
      </c>
      <c r="Z72" s="1565">
        <v>0</v>
      </c>
      <c r="AA72" s="1565">
        <v>0</v>
      </c>
      <c r="AB72" s="1565">
        <v>0</v>
      </c>
      <c r="AC72" s="1565">
        <v>0</v>
      </c>
      <c r="AD72" s="1565">
        <v>0</v>
      </c>
      <c r="AE72" s="1565">
        <v>0</v>
      </c>
      <c r="AF72" s="1565">
        <v>0</v>
      </c>
      <c r="AG72" s="1565">
        <v>0</v>
      </c>
      <c r="AH72" s="1565">
        <v>0</v>
      </c>
      <c r="AI72" s="1565">
        <v>0</v>
      </c>
      <c r="AJ72" s="1565">
        <v>0</v>
      </c>
      <c r="AK72" s="1565">
        <v>0</v>
      </c>
      <c r="AL72" s="1565">
        <v>0</v>
      </c>
      <c r="AM72" s="1565">
        <v>0</v>
      </c>
      <c r="AN72" s="1565">
        <v>0</v>
      </c>
      <c r="AO72" s="1565">
        <v>0</v>
      </c>
      <c r="AP72" s="1565">
        <v>0</v>
      </c>
      <c r="AQ72" s="1565">
        <v>0</v>
      </c>
      <c r="AR72" s="1565">
        <v>0</v>
      </c>
      <c r="AS72" s="1565">
        <v>0</v>
      </c>
    </row>
    <row r="73" s="1480" customFormat="1" spans="1:45">
      <c r="A73" s="1488"/>
      <c r="B73" s="1489" t="s">
        <v>323</v>
      </c>
      <c r="C73" s="1564">
        <v>10967.4892283588</v>
      </c>
      <c r="D73" s="1494">
        <v>0</v>
      </c>
      <c r="E73" s="1494">
        <v>0</v>
      </c>
      <c r="F73" s="1564">
        <v>0</v>
      </c>
      <c r="G73" s="1564">
        <v>0</v>
      </c>
      <c r="H73" s="1494">
        <v>0</v>
      </c>
      <c r="I73" s="1494">
        <v>10967.4892283588</v>
      </c>
      <c r="J73" s="1494">
        <v>10967.4892283588</v>
      </c>
      <c r="K73" s="1494">
        <v>10967.4892283588</v>
      </c>
      <c r="L73" s="1494">
        <v>10967.4892283588</v>
      </c>
      <c r="M73" s="1494">
        <v>10967.4892283588</v>
      </c>
      <c r="N73" s="1494">
        <v>10967.4892283588</v>
      </c>
      <c r="O73" s="1494">
        <v>10967.4892283588</v>
      </c>
      <c r="P73" s="1494">
        <v>10967.4892283588</v>
      </c>
      <c r="Q73" s="1494">
        <v>10967.4892283588</v>
      </c>
      <c r="R73" s="1494">
        <v>10967.4892283588</v>
      </c>
      <c r="S73" s="1494">
        <v>10967.4892283588</v>
      </c>
      <c r="T73" s="1494">
        <v>10967.4892283588</v>
      </c>
      <c r="U73" s="1494">
        <v>10967.4892283588</v>
      </c>
      <c r="V73" s="1494">
        <v>10967.4892283588</v>
      </c>
      <c r="W73" s="1494">
        <v>10967.4892283588</v>
      </c>
      <c r="X73" s="1494">
        <v>10967.4892283588</v>
      </c>
      <c r="Y73" s="1494">
        <v>10967.4892283588</v>
      </c>
      <c r="Z73" s="1494">
        <v>10967.4892283588</v>
      </c>
      <c r="AA73" s="1494">
        <v>10967.4892283588</v>
      </c>
      <c r="AB73" s="1494">
        <v>10967.4892283588</v>
      </c>
      <c r="AC73" s="1494">
        <v>10967.4892283588</v>
      </c>
      <c r="AD73" s="1494">
        <v>10967.4892283588</v>
      </c>
      <c r="AE73" s="1494">
        <v>10967.4892283588</v>
      </c>
      <c r="AF73" s="1494">
        <v>10967.4892283588</v>
      </c>
      <c r="AG73" s="1494">
        <v>10967.4892283588</v>
      </c>
      <c r="AH73" s="1494">
        <v>10967.4892283588</v>
      </c>
      <c r="AI73" s="1494">
        <v>10967.4892283588</v>
      </c>
      <c r="AJ73" s="1494">
        <v>10967.4892283588</v>
      </c>
      <c r="AK73" s="1494">
        <v>10967.4892283588</v>
      </c>
      <c r="AL73" s="1494">
        <v>10967.4892283588</v>
      </c>
      <c r="AM73" s="1494">
        <v>10967.4892283588</v>
      </c>
      <c r="AN73" s="1494">
        <v>10967.4892283588</v>
      </c>
      <c r="AO73" s="1494">
        <v>10967.4892283588</v>
      </c>
      <c r="AP73" s="1494">
        <v>10967.4892283588</v>
      </c>
      <c r="AQ73" s="1494">
        <v>10967.4892283588</v>
      </c>
      <c r="AR73" s="1494">
        <v>10967.4892283588</v>
      </c>
      <c r="AS73" s="1494">
        <v>10967.4892283588</v>
      </c>
    </row>
    <row r="74" spans="1:45">
      <c r="A74" s="1491"/>
      <c r="B74" s="1492" t="s">
        <v>324</v>
      </c>
      <c r="C74" s="1492">
        <v>102655.699177438</v>
      </c>
      <c r="D74" s="1492">
        <v>0</v>
      </c>
      <c r="E74" s="1492">
        <v>0</v>
      </c>
      <c r="F74" s="1492">
        <v>0</v>
      </c>
      <c r="G74" s="1492">
        <v>0</v>
      </c>
      <c r="H74" s="1492">
        <v>0</v>
      </c>
      <c r="I74" s="1492">
        <v>0</v>
      </c>
      <c r="J74" s="1492">
        <v>0</v>
      </c>
      <c r="K74" s="1492">
        <v>0</v>
      </c>
      <c r="L74" s="1492">
        <v>0</v>
      </c>
      <c r="M74" s="1492">
        <v>0</v>
      </c>
      <c r="N74" s="1492">
        <v>0</v>
      </c>
      <c r="O74" s="1492">
        <v>0</v>
      </c>
      <c r="P74" s="1492">
        <v>0</v>
      </c>
      <c r="Q74" s="1492">
        <v>25663.9247943596</v>
      </c>
      <c r="R74" s="1492">
        <v>25663.9247943596</v>
      </c>
      <c r="S74" s="1492">
        <v>25663.9247943596</v>
      </c>
      <c r="T74" s="1492">
        <v>25663.9247943596</v>
      </c>
      <c r="U74" s="1492">
        <v>0</v>
      </c>
      <c r="V74" s="1492">
        <v>0</v>
      </c>
      <c r="W74" s="1492">
        <v>0</v>
      </c>
      <c r="X74" s="1492">
        <v>0</v>
      </c>
      <c r="Y74" s="1492">
        <v>0</v>
      </c>
      <c r="Z74" s="1492">
        <v>0</v>
      </c>
      <c r="AA74" s="1492">
        <v>0</v>
      </c>
      <c r="AB74" s="1492">
        <v>0</v>
      </c>
      <c r="AC74" s="1492">
        <v>0</v>
      </c>
      <c r="AD74" s="1492">
        <v>0</v>
      </c>
      <c r="AE74" s="1492">
        <v>0</v>
      </c>
      <c r="AF74" s="1492">
        <v>0</v>
      </c>
      <c r="AG74" s="1492">
        <v>0</v>
      </c>
      <c r="AH74" s="1492">
        <v>0</v>
      </c>
      <c r="AI74" s="1492">
        <v>0</v>
      </c>
      <c r="AJ74" s="1492">
        <v>0</v>
      </c>
      <c r="AK74" s="1492">
        <v>0</v>
      </c>
      <c r="AL74" s="1492">
        <v>0</v>
      </c>
      <c r="AM74" s="1492">
        <v>0</v>
      </c>
      <c r="AN74" s="1492">
        <v>0</v>
      </c>
      <c r="AO74" s="1492">
        <v>0</v>
      </c>
      <c r="AP74" s="1492">
        <v>0</v>
      </c>
      <c r="AQ74" s="1492">
        <v>0</v>
      </c>
      <c r="AR74" s="1492">
        <v>0</v>
      </c>
      <c r="AS74" s="1492">
        <v>0</v>
      </c>
    </row>
    <row r="75" s="1480" customFormat="1" spans="1:45">
      <c r="A75" s="1488" t="s">
        <v>63</v>
      </c>
      <c r="B75" s="1489" t="s">
        <v>234</v>
      </c>
      <c r="C75" s="1564">
        <v>0</v>
      </c>
      <c r="D75" s="1494"/>
      <c r="E75" s="1494"/>
      <c r="F75" s="1494"/>
      <c r="G75" s="1494"/>
      <c r="H75" s="1494"/>
      <c r="I75" s="1494">
        <v>0</v>
      </c>
      <c r="J75" s="1494">
        <v>0</v>
      </c>
      <c r="K75" s="1494">
        <v>0</v>
      </c>
      <c r="L75" s="1494">
        <v>0</v>
      </c>
      <c r="M75" s="1494">
        <v>0</v>
      </c>
      <c r="N75" s="1494">
        <v>0</v>
      </c>
      <c r="O75" s="1494">
        <v>0</v>
      </c>
      <c r="P75" s="1494">
        <v>0</v>
      </c>
      <c r="Q75" s="1494">
        <v>0</v>
      </c>
      <c r="R75" s="1494">
        <v>0</v>
      </c>
      <c r="S75" s="1494">
        <v>0</v>
      </c>
      <c r="T75" s="1494">
        <v>0</v>
      </c>
      <c r="U75" s="1494">
        <v>0</v>
      </c>
      <c r="V75" s="1494">
        <v>0</v>
      </c>
      <c r="W75" s="1494">
        <v>0</v>
      </c>
      <c r="X75" s="1494">
        <v>0</v>
      </c>
      <c r="Y75" s="1494">
        <v>0</v>
      </c>
      <c r="Z75" s="1494">
        <v>0</v>
      </c>
      <c r="AA75" s="1494">
        <v>0</v>
      </c>
      <c r="AB75" s="1494">
        <v>0</v>
      </c>
      <c r="AC75" s="1494">
        <v>0</v>
      </c>
      <c r="AD75" s="1494">
        <v>0</v>
      </c>
      <c r="AE75" s="1494">
        <v>0</v>
      </c>
      <c r="AF75" s="1494">
        <v>0</v>
      </c>
      <c r="AG75" s="1494">
        <v>0</v>
      </c>
      <c r="AH75" s="1494">
        <v>0</v>
      </c>
      <c r="AI75" s="1494">
        <v>0</v>
      </c>
      <c r="AJ75" s="1494">
        <v>0</v>
      </c>
      <c r="AK75" s="1494">
        <v>0</v>
      </c>
      <c r="AL75" s="1494">
        <v>0</v>
      </c>
      <c r="AM75" s="1494">
        <v>0</v>
      </c>
      <c r="AN75" s="1494">
        <v>0</v>
      </c>
      <c r="AO75" s="1494">
        <v>0</v>
      </c>
      <c r="AP75" s="1494">
        <v>0</v>
      </c>
      <c r="AQ75" s="1494">
        <v>0</v>
      </c>
      <c r="AR75" s="1494">
        <v>0</v>
      </c>
      <c r="AS75" s="1494">
        <v>0</v>
      </c>
    </row>
    <row r="76" s="1480" customFormat="1" spans="1:45">
      <c r="A76" s="1488"/>
      <c r="B76" s="1489" t="s">
        <v>323</v>
      </c>
      <c r="C76" s="1564">
        <v>0</v>
      </c>
      <c r="D76" s="1494"/>
      <c r="E76" s="1494"/>
      <c r="F76" s="1564"/>
      <c r="G76" s="1564"/>
      <c r="H76" s="1494"/>
      <c r="I76" s="1494">
        <v>10810.8108108108</v>
      </c>
      <c r="J76" s="1494">
        <v>10810.8108108108</v>
      </c>
      <c r="K76" s="1494">
        <v>10810.8108108108</v>
      </c>
      <c r="L76" s="1494">
        <v>10810.8108108108</v>
      </c>
      <c r="M76" s="1494">
        <v>10810.8108108108</v>
      </c>
      <c r="N76" s="1494">
        <v>10810.8108108108</v>
      </c>
      <c r="O76" s="1494">
        <v>10810.8108108108</v>
      </c>
      <c r="P76" s="1494">
        <v>10810.8108108108</v>
      </c>
      <c r="Q76" s="1494">
        <v>10810.8108108108</v>
      </c>
      <c r="R76" s="1494">
        <v>10810.8108108108</v>
      </c>
      <c r="S76" s="1494">
        <v>10810.8108108108</v>
      </c>
      <c r="T76" s="1494">
        <v>10810.8108108108</v>
      </c>
      <c r="U76" s="1494">
        <v>10810.8108108108</v>
      </c>
      <c r="V76" s="1494">
        <v>10810.8108108108</v>
      </c>
      <c r="W76" s="1494">
        <v>10810.8108108108</v>
      </c>
      <c r="X76" s="1494">
        <v>10810.8108108108</v>
      </c>
      <c r="Y76" s="1494">
        <v>10810.8108108108</v>
      </c>
      <c r="Z76" s="1494">
        <v>10810.8108108108</v>
      </c>
      <c r="AA76" s="1494">
        <v>10810.8108108108</v>
      </c>
      <c r="AB76" s="1494">
        <v>10810.8108108108</v>
      </c>
      <c r="AC76" s="1494">
        <v>10810.8108108108</v>
      </c>
      <c r="AD76" s="1494">
        <v>10810.8108108108</v>
      </c>
      <c r="AE76" s="1494">
        <v>10810.8108108108</v>
      </c>
      <c r="AF76" s="1494">
        <v>10810.8108108108</v>
      </c>
      <c r="AG76" s="1494">
        <v>10810.8108108108</v>
      </c>
      <c r="AH76" s="1494">
        <v>10810.8108108108</v>
      </c>
      <c r="AI76" s="1494">
        <v>10810.8108108108</v>
      </c>
      <c r="AJ76" s="1494">
        <v>10810.8108108108</v>
      </c>
      <c r="AK76" s="1494">
        <v>10810.8108108108</v>
      </c>
      <c r="AL76" s="1494">
        <v>10810.8108108108</v>
      </c>
      <c r="AM76" s="1494">
        <v>10810.8108108108</v>
      </c>
      <c r="AN76" s="1494">
        <v>10810.8108108108</v>
      </c>
      <c r="AO76" s="1494">
        <v>10810.8108108108</v>
      </c>
      <c r="AP76" s="1494">
        <v>10810.8108108108</v>
      </c>
      <c r="AQ76" s="1494">
        <v>10810.8108108108</v>
      </c>
      <c r="AR76" s="1494">
        <v>10810.8108108108</v>
      </c>
      <c r="AS76" s="1494">
        <v>10810.8108108108</v>
      </c>
    </row>
    <row r="77" spans="1:45">
      <c r="A77" s="1491"/>
      <c r="B77" s="1492" t="s">
        <v>324</v>
      </c>
      <c r="C77" s="1492">
        <v>0</v>
      </c>
      <c r="D77" s="1492">
        <v>0</v>
      </c>
      <c r="E77" s="1492">
        <v>0</v>
      </c>
      <c r="F77" s="1492">
        <v>0</v>
      </c>
      <c r="G77" s="1492">
        <v>0</v>
      </c>
      <c r="H77" s="1492">
        <v>0</v>
      </c>
      <c r="I77" s="1492">
        <v>0</v>
      </c>
      <c r="J77" s="1492">
        <v>0</v>
      </c>
      <c r="K77" s="1492">
        <v>0</v>
      </c>
      <c r="L77" s="1492">
        <v>0</v>
      </c>
      <c r="M77" s="1492">
        <v>0</v>
      </c>
      <c r="N77" s="1492">
        <v>0</v>
      </c>
      <c r="O77" s="1492">
        <v>0</v>
      </c>
      <c r="P77" s="1492">
        <v>0</v>
      </c>
      <c r="Q77" s="1492">
        <v>0</v>
      </c>
      <c r="R77" s="1492">
        <v>0</v>
      </c>
      <c r="S77" s="1492">
        <v>0</v>
      </c>
      <c r="T77" s="1492">
        <v>0</v>
      </c>
      <c r="U77" s="1492">
        <v>0</v>
      </c>
      <c r="V77" s="1492">
        <v>0</v>
      </c>
      <c r="W77" s="1492">
        <v>0</v>
      </c>
      <c r="X77" s="1492">
        <v>0</v>
      </c>
      <c r="Y77" s="1492">
        <v>0</v>
      </c>
      <c r="Z77" s="1492">
        <v>0</v>
      </c>
      <c r="AA77" s="1492">
        <v>0</v>
      </c>
      <c r="AB77" s="1492">
        <v>0</v>
      </c>
      <c r="AC77" s="1492">
        <v>0</v>
      </c>
      <c r="AD77" s="1492">
        <v>0</v>
      </c>
      <c r="AE77" s="1492">
        <v>0</v>
      </c>
      <c r="AF77" s="1492">
        <v>0</v>
      </c>
      <c r="AG77" s="1492">
        <v>0</v>
      </c>
      <c r="AH77" s="1492">
        <v>0</v>
      </c>
      <c r="AI77" s="1492">
        <v>0</v>
      </c>
      <c r="AJ77" s="1492">
        <v>0</v>
      </c>
      <c r="AK77" s="1492">
        <v>0</v>
      </c>
      <c r="AL77" s="1492">
        <v>0</v>
      </c>
      <c r="AM77" s="1492">
        <v>0</v>
      </c>
      <c r="AN77" s="1492">
        <v>0</v>
      </c>
      <c r="AO77" s="1492">
        <v>0</v>
      </c>
      <c r="AP77" s="1492">
        <v>0</v>
      </c>
      <c r="AQ77" s="1492">
        <v>0</v>
      </c>
      <c r="AR77" s="1492">
        <v>0</v>
      </c>
      <c r="AS77" s="1492">
        <v>0</v>
      </c>
    </row>
    <row r="78" s="1480" customFormat="1" spans="1:45">
      <c r="A78" s="1488" t="s">
        <v>245</v>
      </c>
      <c r="B78" s="1489" t="s">
        <v>234</v>
      </c>
      <c r="C78" s="1564">
        <v>0</v>
      </c>
      <c r="D78" s="1494"/>
      <c r="E78" s="1494"/>
      <c r="F78" s="1494"/>
      <c r="G78" s="1494"/>
      <c r="H78" s="1494"/>
      <c r="I78" s="1494">
        <v>0</v>
      </c>
      <c r="J78" s="1494">
        <v>0</v>
      </c>
      <c r="K78" s="1494">
        <v>0</v>
      </c>
      <c r="L78" s="1494">
        <v>0</v>
      </c>
      <c r="M78" s="1494">
        <v>0</v>
      </c>
      <c r="N78" s="1494">
        <v>0</v>
      </c>
      <c r="O78" s="1494">
        <v>0</v>
      </c>
      <c r="P78" s="1494">
        <v>0</v>
      </c>
      <c r="Q78" s="1494">
        <v>0</v>
      </c>
      <c r="R78" s="1494">
        <v>0</v>
      </c>
      <c r="S78" s="1494">
        <v>0</v>
      </c>
      <c r="T78" s="1494">
        <v>0</v>
      </c>
      <c r="U78" s="1494">
        <v>0</v>
      </c>
      <c r="V78" s="1494">
        <v>0</v>
      </c>
      <c r="W78" s="1494">
        <v>0</v>
      </c>
      <c r="X78" s="1494">
        <v>0</v>
      </c>
      <c r="Y78" s="1494">
        <v>0</v>
      </c>
      <c r="Z78" s="1494">
        <v>0</v>
      </c>
      <c r="AA78" s="1494">
        <v>0</v>
      </c>
      <c r="AB78" s="1494">
        <v>0</v>
      </c>
      <c r="AC78" s="1494">
        <v>0</v>
      </c>
      <c r="AD78" s="1494">
        <v>0</v>
      </c>
      <c r="AE78" s="1494">
        <v>0</v>
      </c>
      <c r="AF78" s="1494">
        <v>0</v>
      </c>
      <c r="AG78" s="1494">
        <v>0</v>
      </c>
      <c r="AH78" s="1494">
        <v>0</v>
      </c>
      <c r="AI78" s="1494">
        <v>0</v>
      </c>
      <c r="AJ78" s="1494">
        <v>0</v>
      </c>
      <c r="AK78" s="1494">
        <v>0</v>
      </c>
      <c r="AL78" s="1494">
        <v>0</v>
      </c>
      <c r="AM78" s="1494">
        <v>0</v>
      </c>
      <c r="AN78" s="1494">
        <v>0</v>
      </c>
      <c r="AO78" s="1494">
        <v>0</v>
      </c>
      <c r="AP78" s="1494">
        <v>0</v>
      </c>
      <c r="AQ78" s="1494">
        <v>0</v>
      </c>
      <c r="AR78" s="1494">
        <v>0</v>
      </c>
      <c r="AS78" s="1494">
        <v>0</v>
      </c>
    </row>
    <row r="79" s="1480" customFormat="1" spans="1:45">
      <c r="A79" s="1488"/>
      <c r="B79" s="1489" t="s">
        <v>323</v>
      </c>
      <c r="C79" s="1564">
        <v>0</v>
      </c>
      <c r="D79" s="1494"/>
      <c r="E79" s="1494"/>
      <c r="F79" s="1564"/>
      <c r="G79" s="1564"/>
      <c r="H79" s="1494"/>
      <c r="I79" s="1494">
        <v>0</v>
      </c>
      <c r="J79" s="1494">
        <v>0</v>
      </c>
      <c r="K79" s="1494">
        <v>0</v>
      </c>
      <c r="L79" s="1494">
        <v>0</v>
      </c>
      <c r="M79" s="1494">
        <v>0</v>
      </c>
      <c r="N79" s="1494">
        <v>0</v>
      </c>
      <c r="O79" s="1494">
        <v>0</v>
      </c>
      <c r="P79" s="1494">
        <v>0</v>
      </c>
      <c r="Q79" s="1494">
        <v>0</v>
      </c>
      <c r="R79" s="1494">
        <v>0</v>
      </c>
      <c r="S79" s="1494">
        <v>0</v>
      </c>
      <c r="T79" s="1494">
        <v>0</v>
      </c>
      <c r="U79" s="1494">
        <v>0</v>
      </c>
      <c r="V79" s="1494">
        <v>0</v>
      </c>
      <c r="W79" s="1494">
        <v>0</v>
      </c>
      <c r="X79" s="1494">
        <v>0</v>
      </c>
      <c r="Y79" s="1494">
        <v>0</v>
      </c>
      <c r="Z79" s="1494">
        <v>0</v>
      </c>
      <c r="AA79" s="1494">
        <v>0</v>
      </c>
      <c r="AB79" s="1494">
        <v>0</v>
      </c>
      <c r="AC79" s="1494">
        <v>0</v>
      </c>
      <c r="AD79" s="1494">
        <v>0</v>
      </c>
      <c r="AE79" s="1494">
        <v>0</v>
      </c>
      <c r="AF79" s="1494">
        <v>0</v>
      </c>
      <c r="AG79" s="1494">
        <v>0</v>
      </c>
      <c r="AH79" s="1494">
        <v>0</v>
      </c>
      <c r="AI79" s="1494">
        <v>0</v>
      </c>
      <c r="AJ79" s="1494">
        <v>0</v>
      </c>
      <c r="AK79" s="1494">
        <v>0</v>
      </c>
      <c r="AL79" s="1494">
        <v>0</v>
      </c>
      <c r="AM79" s="1494">
        <v>0</v>
      </c>
      <c r="AN79" s="1494">
        <v>0</v>
      </c>
      <c r="AO79" s="1494">
        <v>0</v>
      </c>
      <c r="AP79" s="1494">
        <v>0</v>
      </c>
      <c r="AQ79" s="1494">
        <v>0</v>
      </c>
      <c r="AR79" s="1494">
        <v>0</v>
      </c>
      <c r="AS79" s="1494">
        <v>0</v>
      </c>
    </row>
    <row r="80" spans="1:45">
      <c r="A80" s="1491"/>
      <c r="B80" s="1492" t="s">
        <v>324</v>
      </c>
      <c r="C80" s="1492">
        <v>0</v>
      </c>
      <c r="D80" s="1492">
        <v>0</v>
      </c>
      <c r="E80" s="1492">
        <v>0</v>
      </c>
      <c r="F80" s="1492">
        <v>0</v>
      </c>
      <c r="G80" s="1492">
        <v>0</v>
      </c>
      <c r="H80" s="1492">
        <v>0</v>
      </c>
      <c r="I80" s="1492">
        <v>0</v>
      </c>
      <c r="J80" s="1492">
        <v>0</v>
      </c>
      <c r="K80" s="1492">
        <v>0</v>
      </c>
      <c r="L80" s="1492">
        <v>0</v>
      </c>
      <c r="M80" s="1492">
        <v>0</v>
      </c>
      <c r="N80" s="1492">
        <v>0</v>
      </c>
      <c r="O80" s="1492">
        <v>0</v>
      </c>
      <c r="P80" s="1492">
        <v>0</v>
      </c>
      <c r="Q80" s="1492">
        <v>0</v>
      </c>
      <c r="R80" s="1492">
        <v>0</v>
      </c>
      <c r="S80" s="1492">
        <v>0</v>
      </c>
      <c r="T80" s="1492">
        <v>0</v>
      </c>
      <c r="U80" s="1492">
        <v>0</v>
      </c>
      <c r="V80" s="1492">
        <v>0</v>
      </c>
      <c r="W80" s="1492">
        <v>0</v>
      </c>
      <c r="X80" s="1492">
        <v>0</v>
      </c>
      <c r="Y80" s="1492">
        <v>0</v>
      </c>
      <c r="Z80" s="1492">
        <v>0</v>
      </c>
      <c r="AA80" s="1492">
        <v>0</v>
      </c>
      <c r="AB80" s="1492">
        <v>0</v>
      </c>
      <c r="AC80" s="1492">
        <v>0</v>
      </c>
      <c r="AD80" s="1492">
        <v>0</v>
      </c>
      <c r="AE80" s="1492">
        <v>0</v>
      </c>
      <c r="AF80" s="1492">
        <v>0</v>
      </c>
      <c r="AG80" s="1492">
        <v>0</v>
      </c>
      <c r="AH80" s="1492">
        <v>0</v>
      </c>
      <c r="AI80" s="1492">
        <v>0</v>
      </c>
      <c r="AJ80" s="1492">
        <v>0</v>
      </c>
      <c r="AK80" s="1492">
        <v>0</v>
      </c>
      <c r="AL80" s="1492">
        <v>0</v>
      </c>
      <c r="AM80" s="1492">
        <v>0</v>
      </c>
      <c r="AN80" s="1492">
        <v>0</v>
      </c>
      <c r="AO80" s="1492">
        <v>0</v>
      </c>
      <c r="AP80" s="1492">
        <v>0</v>
      </c>
      <c r="AQ80" s="1492">
        <v>0</v>
      </c>
      <c r="AR80" s="1492">
        <v>0</v>
      </c>
      <c r="AS80" s="1492">
        <v>0</v>
      </c>
    </row>
    <row r="81" s="1480" customFormat="1" spans="1:45">
      <c r="A81" s="1488" t="s">
        <v>199</v>
      </c>
      <c r="B81" s="1489" t="s">
        <v>234</v>
      </c>
      <c r="C81" s="1564">
        <v>0</v>
      </c>
      <c r="D81" s="1494">
        <v>0</v>
      </c>
      <c r="E81" s="1494">
        <v>0</v>
      </c>
      <c r="F81" s="1494">
        <v>0</v>
      </c>
      <c r="G81" s="1494">
        <v>0</v>
      </c>
      <c r="H81" s="1494">
        <v>0</v>
      </c>
      <c r="I81" s="1494">
        <v>0</v>
      </c>
      <c r="J81" s="1494">
        <v>0</v>
      </c>
      <c r="K81" s="1494">
        <v>0</v>
      </c>
      <c r="L81" s="1494">
        <v>0</v>
      </c>
      <c r="M81" s="1494">
        <v>0</v>
      </c>
      <c r="N81" s="1494">
        <v>0</v>
      </c>
      <c r="O81" s="1494">
        <v>0</v>
      </c>
      <c r="P81" s="1494">
        <v>0</v>
      </c>
      <c r="Q81" s="1494">
        <v>0</v>
      </c>
      <c r="R81" s="1494">
        <v>0</v>
      </c>
      <c r="S81" s="1494">
        <v>0</v>
      </c>
      <c r="T81" s="1565">
        <v>0</v>
      </c>
      <c r="U81" s="1565">
        <v>0</v>
      </c>
      <c r="V81" s="1565">
        <v>0</v>
      </c>
      <c r="W81" s="1565">
        <v>0</v>
      </c>
      <c r="X81" s="1565">
        <v>0</v>
      </c>
      <c r="Y81" s="1565">
        <v>0</v>
      </c>
      <c r="Z81" s="1565">
        <v>0</v>
      </c>
      <c r="AA81" s="1565">
        <v>0</v>
      </c>
      <c r="AB81" s="1565">
        <v>0</v>
      </c>
      <c r="AC81" s="1565">
        <v>0</v>
      </c>
      <c r="AD81" s="1565">
        <v>0</v>
      </c>
      <c r="AE81" s="1565">
        <v>0</v>
      </c>
      <c r="AF81" s="1565">
        <v>0</v>
      </c>
      <c r="AG81" s="1565">
        <v>0</v>
      </c>
      <c r="AH81" s="1565">
        <v>0</v>
      </c>
      <c r="AI81" s="1565">
        <v>0</v>
      </c>
      <c r="AJ81" s="1565">
        <v>0</v>
      </c>
      <c r="AK81" s="1565">
        <v>0</v>
      </c>
      <c r="AL81" s="1565">
        <v>0</v>
      </c>
      <c r="AM81" s="1565">
        <v>0</v>
      </c>
      <c r="AN81" s="1565">
        <v>0</v>
      </c>
      <c r="AO81" s="1565">
        <v>0</v>
      </c>
      <c r="AP81" s="1565">
        <v>0</v>
      </c>
      <c r="AQ81" s="1565">
        <v>0</v>
      </c>
      <c r="AR81" s="1565">
        <v>0</v>
      </c>
      <c r="AS81" s="1565">
        <v>0</v>
      </c>
    </row>
    <row r="82" s="1480" customFormat="1" spans="1:45">
      <c r="A82" s="1488"/>
      <c r="B82" s="1489" t="s">
        <v>323</v>
      </c>
      <c r="C82" s="1564">
        <v>0</v>
      </c>
      <c r="D82" s="1494">
        <v>0</v>
      </c>
      <c r="E82" s="1494">
        <v>0</v>
      </c>
      <c r="F82" s="1494">
        <v>0</v>
      </c>
      <c r="G82" s="1494">
        <v>0</v>
      </c>
      <c r="H82" s="1494">
        <v>0</v>
      </c>
      <c r="I82" s="1494">
        <v>18018.018018018</v>
      </c>
      <c r="J82" s="1494">
        <v>18018.018018018</v>
      </c>
      <c r="K82" s="1494">
        <v>18018.018018018</v>
      </c>
      <c r="L82" s="1494">
        <v>18018.018018018</v>
      </c>
      <c r="M82" s="1494">
        <v>18018.018018018</v>
      </c>
      <c r="N82" s="1494">
        <v>18018.018018018</v>
      </c>
      <c r="O82" s="1494">
        <v>18018.018018018</v>
      </c>
      <c r="P82" s="1494">
        <v>18018.018018018</v>
      </c>
      <c r="Q82" s="1494">
        <v>18018.018018018</v>
      </c>
      <c r="R82" s="1494">
        <v>18018.018018018</v>
      </c>
      <c r="S82" s="1494">
        <v>18018.018018018</v>
      </c>
      <c r="T82" s="1494">
        <v>18018.018018018</v>
      </c>
      <c r="U82" s="1494">
        <v>18018.018018018</v>
      </c>
      <c r="V82" s="1494">
        <v>18018.018018018</v>
      </c>
      <c r="W82" s="1494">
        <v>18018.018018018</v>
      </c>
      <c r="X82" s="1494">
        <v>18018.018018018</v>
      </c>
      <c r="Y82" s="1494">
        <v>18018.018018018</v>
      </c>
      <c r="Z82" s="1494">
        <v>18018.018018018</v>
      </c>
      <c r="AA82" s="1494">
        <v>18018.018018018</v>
      </c>
      <c r="AB82" s="1494">
        <v>18018.018018018</v>
      </c>
      <c r="AC82" s="1494">
        <v>18018.018018018</v>
      </c>
      <c r="AD82" s="1494">
        <v>18018.018018018</v>
      </c>
      <c r="AE82" s="1494">
        <v>18018.018018018</v>
      </c>
      <c r="AF82" s="1494">
        <v>18018.018018018</v>
      </c>
      <c r="AG82" s="1494">
        <v>18018.018018018</v>
      </c>
      <c r="AH82" s="1494">
        <v>18018.018018018</v>
      </c>
      <c r="AI82" s="1494">
        <v>18018.018018018</v>
      </c>
      <c r="AJ82" s="1494">
        <v>18018.018018018</v>
      </c>
      <c r="AK82" s="1494">
        <v>18018.018018018</v>
      </c>
      <c r="AL82" s="1494">
        <v>18018.018018018</v>
      </c>
      <c r="AM82" s="1494">
        <v>18018.018018018</v>
      </c>
      <c r="AN82" s="1494">
        <v>18018.018018018</v>
      </c>
      <c r="AO82" s="1494">
        <v>18018.018018018</v>
      </c>
      <c r="AP82" s="1494">
        <v>18018.018018018</v>
      </c>
      <c r="AQ82" s="1494">
        <v>18018.018018018</v>
      </c>
      <c r="AR82" s="1494">
        <v>18018.018018018</v>
      </c>
      <c r="AS82" s="1494">
        <v>18018.018018018</v>
      </c>
    </row>
    <row r="83" spans="1:45">
      <c r="A83" s="1491"/>
      <c r="B83" s="1492" t="s">
        <v>324</v>
      </c>
      <c r="C83" s="1492">
        <v>0</v>
      </c>
      <c r="D83" s="1492">
        <v>0</v>
      </c>
      <c r="E83" s="1492">
        <v>0</v>
      </c>
      <c r="F83" s="1492">
        <v>0</v>
      </c>
      <c r="G83" s="1492">
        <v>0</v>
      </c>
      <c r="H83" s="1492">
        <v>0</v>
      </c>
      <c r="I83" s="1492">
        <v>0</v>
      </c>
      <c r="J83" s="1492">
        <v>0</v>
      </c>
      <c r="K83" s="1492">
        <v>0</v>
      </c>
      <c r="L83" s="1492">
        <v>0</v>
      </c>
      <c r="M83" s="1492">
        <v>0</v>
      </c>
      <c r="N83" s="1492">
        <v>0</v>
      </c>
      <c r="O83" s="1492">
        <v>0</v>
      </c>
      <c r="P83" s="1492">
        <v>0</v>
      </c>
      <c r="Q83" s="1492">
        <v>0</v>
      </c>
      <c r="R83" s="1492">
        <v>0</v>
      </c>
      <c r="S83" s="1492">
        <v>0</v>
      </c>
      <c r="T83" s="1492">
        <v>0</v>
      </c>
      <c r="U83" s="1492">
        <v>0</v>
      </c>
      <c r="V83" s="1492">
        <v>0</v>
      </c>
      <c r="W83" s="1492">
        <v>0</v>
      </c>
      <c r="X83" s="1492">
        <v>0</v>
      </c>
      <c r="Y83" s="1492">
        <v>0</v>
      </c>
      <c r="Z83" s="1492">
        <v>0</v>
      </c>
      <c r="AA83" s="1492">
        <v>0</v>
      </c>
      <c r="AB83" s="1492">
        <v>0</v>
      </c>
      <c r="AC83" s="1492">
        <v>0</v>
      </c>
      <c r="AD83" s="1492">
        <v>0</v>
      </c>
      <c r="AE83" s="1492">
        <v>0</v>
      </c>
      <c r="AF83" s="1492">
        <v>0</v>
      </c>
      <c r="AG83" s="1492">
        <v>0</v>
      </c>
      <c r="AH83" s="1492">
        <v>0</v>
      </c>
      <c r="AI83" s="1492">
        <v>0</v>
      </c>
      <c r="AJ83" s="1492">
        <v>0</v>
      </c>
      <c r="AK83" s="1492">
        <v>0</v>
      </c>
      <c r="AL83" s="1492">
        <v>0</v>
      </c>
      <c r="AM83" s="1492">
        <v>0</v>
      </c>
      <c r="AN83" s="1492">
        <v>0</v>
      </c>
      <c r="AO83" s="1492">
        <v>0</v>
      </c>
      <c r="AP83" s="1492">
        <v>0</v>
      </c>
      <c r="AQ83" s="1492">
        <v>0</v>
      </c>
      <c r="AR83" s="1492">
        <v>0</v>
      </c>
      <c r="AS83" s="1492">
        <v>0</v>
      </c>
    </row>
    <row r="84" spans="1:45">
      <c r="A84" s="1487" t="s">
        <v>52</v>
      </c>
      <c r="B84" s="1484" t="s">
        <v>234</v>
      </c>
      <c r="C84" s="1483">
        <v>97176.7411933811</v>
      </c>
      <c r="D84" s="1483">
        <v>0</v>
      </c>
      <c r="E84" s="1483">
        <v>0</v>
      </c>
      <c r="F84" s="1483">
        <v>0</v>
      </c>
      <c r="G84" s="1483">
        <v>0</v>
      </c>
      <c r="H84" s="1483">
        <v>0</v>
      </c>
      <c r="I84" s="1483">
        <v>0</v>
      </c>
      <c r="J84" s="1483">
        <v>0</v>
      </c>
      <c r="K84" s="1483">
        <v>0</v>
      </c>
      <c r="L84" s="1483">
        <v>0</v>
      </c>
      <c r="M84" s="1483">
        <v>0</v>
      </c>
      <c r="N84" s="1483">
        <v>0</v>
      </c>
      <c r="O84" s="1483">
        <v>0</v>
      </c>
      <c r="P84" s="1483">
        <v>0</v>
      </c>
      <c r="Q84" s="1483">
        <v>0</v>
      </c>
      <c r="R84" s="1483">
        <v>0</v>
      </c>
      <c r="S84" s="1483">
        <v>0</v>
      </c>
      <c r="T84" s="1483">
        <v>0</v>
      </c>
      <c r="U84" s="1483">
        <v>23544.1852983453</v>
      </c>
      <c r="V84" s="1483">
        <v>23544.1852983453</v>
      </c>
      <c r="W84" s="1483">
        <v>23544.1852983453</v>
      </c>
      <c r="X84" s="1483">
        <v>26544.1852983453</v>
      </c>
      <c r="Y84" s="1483">
        <v>0</v>
      </c>
      <c r="Z84" s="1483">
        <v>0</v>
      </c>
      <c r="AA84" s="1483">
        <v>0</v>
      </c>
      <c r="AB84" s="1483">
        <v>0</v>
      </c>
      <c r="AC84" s="1483">
        <v>0</v>
      </c>
      <c r="AD84" s="1483">
        <v>0</v>
      </c>
      <c r="AE84" s="1483">
        <v>0</v>
      </c>
      <c r="AF84" s="1483">
        <v>0</v>
      </c>
      <c r="AG84" s="1483">
        <v>0</v>
      </c>
      <c r="AH84" s="1483">
        <v>0</v>
      </c>
      <c r="AI84" s="1483">
        <v>0</v>
      </c>
      <c r="AJ84" s="1483">
        <v>0</v>
      </c>
      <c r="AK84" s="1483">
        <v>0</v>
      </c>
      <c r="AL84" s="1483">
        <v>0</v>
      </c>
      <c r="AM84" s="1483">
        <v>0</v>
      </c>
      <c r="AN84" s="1483">
        <v>0</v>
      </c>
      <c r="AO84" s="1483">
        <v>0</v>
      </c>
      <c r="AP84" s="1483">
        <v>0</v>
      </c>
      <c r="AQ84" s="1483">
        <v>0</v>
      </c>
      <c r="AR84" s="1483">
        <v>0</v>
      </c>
      <c r="AS84" s="1483">
        <v>0</v>
      </c>
    </row>
    <row r="85" spans="1:45">
      <c r="A85" s="1487"/>
      <c r="B85" s="1484" t="s">
        <v>323</v>
      </c>
      <c r="C85" s="1483">
        <v>11440.867761332</v>
      </c>
      <c r="D85" s="1483">
        <v>0</v>
      </c>
      <c r="E85" s="1483">
        <v>0</v>
      </c>
      <c r="F85" s="1483">
        <v>0</v>
      </c>
      <c r="G85" s="1483">
        <v>0</v>
      </c>
      <c r="H85" s="1483">
        <v>0</v>
      </c>
      <c r="I85" s="1483">
        <v>0</v>
      </c>
      <c r="J85" s="1483">
        <v>0</v>
      </c>
      <c r="K85" s="1483">
        <v>0</v>
      </c>
      <c r="L85" s="1483">
        <v>0</v>
      </c>
      <c r="M85" s="1483">
        <v>0</v>
      </c>
      <c r="N85" s="1483">
        <v>0</v>
      </c>
      <c r="O85" s="1483">
        <v>0</v>
      </c>
      <c r="P85" s="1483">
        <v>0</v>
      </c>
      <c r="Q85" s="1483">
        <v>0</v>
      </c>
      <c r="R85" s="1483">
        <v>0</v>
      </c>
      <c r="S85" s="1483">
        <v>0</v>
      </c>
      <c r="T85" s="1483">
        <v>0</v>
      </c>
      <c r="U85" s="1483">
        <v>11231.3526462407</v>
      </c>
      <c r="V85" s="1483">
        <v>11231.3526462407</v>
      </c>
      <c r="W85" s="1483">
        <v>11231.3526462407</v>
      </c>
      <c r="X85" s="1483">
        <v>11998.3754757792</v>
      </c>
      <c r="Y85" s="1483">
        <v>0</v>
      </c>
      <c r="Z85" s="1483">
        <v>0</v>
      </c>
      <c r="AA85" s="1483">
        <v>0</v>
      </c>
      <c r="AB85" s="1483">
        <v>0</v>
      </c>
      <c r="AC85" s="1483">
        <v>0</v>
      </c>
      <c r="AD85" s="1483">
        <v>0</v>
      </c>
      <c r="AE85" s="1483">
        <v>0</v>
      </c>
      <c r="AF85" s="1483">
        <v>0</v>
      </c>
      <c r="AG85" s="1483">
        <v>0</v>
      </c>
      <c r="AH85" s="1483">
        <v>0</v>
      </c>
      <c r="AI85" s="1483">
        <v>0</v>
      </c>
      <c r="AJ85" s="1483">
        <v>0</v>
      </c>
      <c r="AK85" s="1483">
        <v>0</v>
      </c>
      <c r="AL85" s="1483">
        <v>0</v>
      </c>
      <c r="AM85" s="1483">
        <v>0</v>
      </c>
      <c r="AN85" s="1483">
        <v>0</v>
      </c>
      <c r="AO85" s="1483">
        <v>0</v>
      </c>
      <c r="AP85" s="1483">
        <v>0</v>
      </c>
      <c r="AQ85" s="1483">
        <v>0</v>
      </c>
      <c r="AR85" s="1483">
        <v>0</v>
      </c>
      <c r="AS85" s="1483">
        <v>0</v>
      </c>
    </row>
    <row r="86" spans="1:45">
      <c r="A86" s="1487"/>
      <c r="B86" s="1484" t="s">
        <v>324</v>
      </c>
      <c r="C86" s="1483">
        <v>111178.624547066</v>
      </c>
      <c r="D86" s="1483">
        <v>0</v>
      </c>
      <c r="E86" s="1483">
        <v>0</v>
      </c>
      <c r="F86" s="1483">
        <v>0</v>
      </c>
      <c r="G86" s="1483">
        <v>0</v>
      </c>
      <c r="H86" s="1483">
        <v>0</v>
      </c>
      <c r="I86" s="1483">
        <v>0</v>
      </c>
      <c r="J86" s="1483">
        <v>0</v>
      </c>
      <c r="K86" s="1483">
        <v>0</v>
      </c>
      <c r="L86" s="1483">
        <v>0</v>
      </c>
      <c r="M86" s="1483">
        <v>0</v>
      </c>
      <c r="N86" s="1483">
        <v>0</v>
      </c>
      <c r="O86" s="1483">
        <v>0</v>
      </c>
      <c r="P86" s="1483">
        <v>0</v>
      </c>
      <c r="Q86" s="1483">
        <v>0</v>
      </c>
      <c r="R86" s="1483">
        <v>0</v>
      </c>
      <c r="S86" s="1483">
        <v>0</v>
      </c>
      <c r="T86" s="1483">
        <v>0</v>
      </c>
      <c r="U86" s="1483">
        <v>26443.3047854151</v>
      </c>
      <c r="V86" s="1483">
        <v>26443.3047854151</v>
      </c>
      <c r="W86" s="1483">
        <v>26443.3047854151</v>
      </c>
      <c r="X86" s="1483">
        <v>31848.7101908205</v>
      </c>
      <c r="Y86" s="1483">
        <v>0</v>
      </c>
      <c r="Z86" s="1483">
        <v>0</v>
      </c>
      <c r="AA86" s="1483">
        <v>0</v>
      </c>
      <c r="AB86" s="1483">
        <v>0</v>
      </c>
      <c r="AC86" s="1483">
        <v>0</v>
      </c>
      <c r="AD86" s="1483">
        <v>0</v>
      </c>
      <c r="AE86" s="1483">
        <v>0</v>
      </c>
      <c r="AF86" s="1483">
        <v>0</v>
      </c>
      <c r="AG86" s="1483">
        <v>0</v>
      </c>
      <c r="AH86" s="1483">
        <v>0</v>
      </c>
      <c r="AI86" s="1483">
        <v>0</v>
      </c>
      <c r="AJ86" s="1483">
        <v>0</v>
      </c>
      <c r="AK86" s="1483">
        <v>0</v>
      </c>
      <c r="AL86" s="1483">
        <v>0</v>
      </c>
      <c r="AM86" s="1483">
        <v>0</v>
      </c>
      <c r="AN86" s="1483">
        <v>0</v>
      </c>
      <c r="AO86" s="1483">
        <v>0</v>
      </c>
      <c r="AP86" s="1483">
        <v>0</v>
      </c>
      <c r="AQ86" s="1483">
        <v>0</v>
      </c>
      <c r="AR86" s="1483">
        <v>0</v>
      </c>
      <c r="AS86" s="1483">
        <v>0</v>
      </c>
    </row>
    <row r="87" s="1480" customFormat="1" spans="1:46">
      <c r="A87" s="1488" t="s">
        <v>202</v>
      </c>
      <c r="B87" s="1489" t="s">
        <v>234</v>
      </c>
      <c r="C87" s="1564">
        <v>576.741193381094</v>
      </c>
      <c r="D87" s="1494">
        <v>0</v>
      </c>
      <c r="E87" s="1494">
        <v>0</v>
      </c>
      <c r="F87" s="1494">
        <v>0</v>
      </c>
      <c r="G87" s="1494">
        <v>0</v>
      </c>
      <c r="H87" s="1494">
        <v>0</v>
      </c>
      <c r="I87" s="1494">
        <v>0</v>
      </c>
      <c r="J87" s="1494">
        <v>0</v>
      </c>
      <c r="K87" s="1494">
        <v>0</v>
      </c>
      <c r="L87" s="1494">
        <v>0</v>
      </c>
      <c r="M87" s="1494">
        <v>0</v>
      </c>
      <c r="N87" s="1494">
        <v>0</v>
      </c>
      <c r="O87" s="1494">
        <v>0</v>
      </c>
      <c r="P87" s="1494">
        <v>0</v>
      </c>
      <c r="Q87" s="1494">
        <v>0</v>
      </c>
      <c r="R87" s="1494">
        <v>0</v>
      </c>
      <c r="S87" s="1494">
        <v>0</v>
      </c>
      <c r="T87" s="1565">
        <v>0</v>
      </c>
      <c r="U87" s="1565">
        <v>144.185298345273</v>
      </c>
      <c r="V87" s="1565">
        <v>144.185298345273</v>
      </c>
      <c r="W87" s="1565">
        <v>144.185298345273</v>
      </c>
      <c r="X87" s="1565">
        <v>144.185298345273</v>
      </c>
      <c r="Y87" s="1565">
        <v>0</v>
      </c>
      <c r="Z87" s="1565">
        <v>0</v>
      </c>
      <c r="AA87" s="1565">
        <v>0</v>
      </c>
      <c r="AB87" s="1565">
        <v>0</v>
      </c>
      <c r="AC87" s="1565">
        <v>0</v>
      </c>
      <c r="AD87" s="1565">
        <v>0</v>
      </c>
      <c r="AE87" s="1565">
        <v>0</v>
      </c>
      <c r="AF87" s="1565">
        <v>0</v>
      </c>
      <c r="AG87" s="1565">
        <v>0</v>
      </c>
      <c r="AH87" s="1565">
        <v>0</v>
      </c>
      <c r="AI87" s="1565">
        <v>0</v>
      </c>
      <c r="AJ87" s="1565">
        <v>0</v>
      </c>
      <c r="AK87" s="1565">
        <v>0</v>
      </c>
      <c r="AL87" s="1565">
        <v>0</v>
      </c>
      <c r="AM87" s="1565">
        <v>0</v>
      </c>
      <c r="AN87" s="1565">
        <v>0</v>
      </c>
      <c r="AO87" s="1565">
        <v>0</v>
      </c>
      <c r="AP87" s="1565">
        <v>0</v>
      </c>
      <c r="AQ87" s="1565">
        <v>0</v>
      </c>
      <c r="AR87" s="1565">
        <v>0</v>
      </c>
      <c r="AS87" s="1565">
        <v>0</v>
      </c>
      <c r="AT87" s="1480">
        <v>0</v>
      </c>
    </row>
    <row r="88" s="1480" customFormat="1" spans="1:45">
      <c r="A88" s="1488">
        <v>0</v>
      </c>
      <c r="B88" s="1489" t="s">
        <v>323</v>
      </c>
      <c r="C88" s="1564">
        <v>54054.054054054</v>
      </c>
      <c r="D88" s="1494">
        <v>0</v>
      </c>
      <c r="E88" s="1494">
        <v>0</v>
      </c>
      <c r="F88" s="1564">
        <v>0</v>
      </c>
      <c r="G88" s="1564">
        <v>0</v>
      </c>
      <c r="H88" s="1494">
        <v>0</v>
      </c>
      <c r="I88" s="1494">
        <v>54054.054054054</v>
      </c>
      <c r="J88" s="1494">
        <v>54054.054054054</v>
      </c>
      <c r="K88" s="1494">
        <v>54054.054054054</v>
      </c>
      <c r="L88" s="1494">
        <v>54054.054054054</v>
      </c>
      <c r="M88" s="1494">
        <v>54054.054054054</v>
      </c>
      <c r="N88" s="1494">
        <v>54054.054054054</v>
      </c>
      <c r="O88" s="1494">
        <v>54054.054054054</v>
      </c>
      <c r="P88" s="1494">
        <v>54054.054054054</v>
      </c>
      <c r="Q88" s="1494">
        <v>54054.054054054</v>
      </c>
      <c r="R88" s="1494">
        <v>54054.054054054</v>
      </c>
      <c r="S88" s="1494">
        <v>54054.054054054</v>
      </c>
      <c r="T88" s="1494">
        <v>54054.054054054</v>
      </c>
      <c r="U88" s="1494">
        <v>54054.054054054</v>
      </c>
      <c r="V88" s="1494">
        <v>54054.054054054</v>
      </c>
      <c r="W88" s="1494">
        <v>54054.054054054</v>
      </c>
      <c r="X88" s="1494">
        <v>54054.054054054</v>
      </c>
      <c r="Y88" s="1494">
        <v>54054.054054054</v>
      </c>
      <c r="Z88" s="1494">
        <v>54054.054054054</v>
      </c>
      <c r="AA88" s="1494">
        <v>54054.054054054</v>
      </c>
      <c r="AB88" s="1494">
        <v>54054.054054054</v>
      </c>
      <c r="AC88" s="1494">
        <v>54054.054054054</v>
      </c>
      <c r="AD88" s="1494">
        <v>54054.054054054</v>
      </c>
      <c r="AE88" s="1494">
        <v>54054.054054054</v>
      </c>
      <c r="AF88" s="1494">
        <v>54054.054054054</v>
      </c>
      <c r="AG88" s="1494">
        <v>54054.054054054</v>
      </c>
      <c r="AH88" s="1494">
        <v>54054.054054054</v>
      </c>
      <c r="AI88" s="1494">
        <v>54054.054054054</v>
      </c>
      <c r="AJ88" s="1494">
        <v>54054.054054054</v>
      </c>
      <c r="AK88" s="1494">
        <v>54054.054054054</v>
      </c>
      <c r="AL88" s="1494">
        <v>54054.054054054</v>
      </c>
      <c r="AM88" s="1494">
        <v>54054.054054054</v>
      </c>
      <c r="AN88" s="1494">
        <v>54054.054054054</v>
      </c>
      <c r="AO88" s="1494">
        <v>0</v>
      </c>
      <c r="AP88" s="1494">
        <v>0</v>
      </c>
      <c r="AQ88" s="1494">
        <v>0</v>
      </c>
      <c r="AR88" s="1494">
        <v>0</v>
      </c>
      <c r="AS88" s="1494">
        <v>0</v>
      </c>
    </row>
    <row r="89" spans="1:45">
      <c r="A89" s="1491">
        <v>0</v>
      </c>
      <c r="B89" s="1492" t="s">
        <v>324</v>
      </c>
      <c r="C89" s="1492">
        <v>3117.51996422213</v>
      </c>
      <c r="D89" s="1492">
        <v>0</v>
      </c>
      <c r="E89" s="1492">
        <v>0</v>
      </c>
      <c r="F89" s="1492">
        <v>0</v>
      </c>
      <c r="G89" s="1492">
        <v>0</v>
      </c>
      <c r="H89" s="1492">
        <v>0</v>
      </c>
      <c r="I89" s="1492">
        <v>0</v>
      </c>
      <c r="J89" s="1492">
        <v>0</v>
      </c>
      <c r="K89" s="1492">
        <v>0</v>
      </c>
      <c r="L89" s="1492">
        <v>0</v>
      </c>
      <c r="M89" s="1492">
        <v>0</v>
      </c>
      <c r="N89" s="1492">
        <v>0</v>
      </c>
      <c r="O89" s="1492">
        <v>0</v>
      </c>
      <c r="P89" s="1492">
        <v>0</v>
      </c>
      <c r="Q89" s="1492">
        <v>0</v>
      </c>
      <c r="R89" s="1492">
        <v>0</v>
      </c>
      <c r="S89" s="1492">
        <v>0</v>
      </c>
      <c r="T89" s="1492">
        <v>0</v>
      </c>
      <c r="U89" s="1492">
        <v>779.379991055532</v>
      </c>
      <c r="V89" s="1492">
        <v>779.379991055532</v>
      </c>
      <c r="W89" s="1492">
        <v>779.379991055532</v>
      </c>
      <c r="X89" s="1492">
        <v>779.379991055532</v>
      </c>
      <c r="Y89" s="1492">
        <v>0</v>
      </c>
      <c r="Z89" s="1492">
        <v>0</v>
      </c>
      <c r="AA89" s="1492">
        <v>0</v>
      </c>
      <c r="AB89" s="1492">
        <v>0</v>
      </c>
      <c r="AC89" s="1492">
        <v>0</v>
      </c>
      <c r="AD89" s="1492">
        <v>0</v>
      </c>
      <c r="AE89" s="1492">
        <v>0</v>
      </c>
      <c r="AF89" s="1492">
        <v>0</v>
      </c>
      <c r="AG89" s="1492">
        <v>0</v>
      </c>
      <c r="AH89" s="1492">
        <v>0</v>
      </c>
      <c r="AI89" s="1492">
        <v>0</v>
      </c>
      <c r="AJ89" s="1492">
        <v>0</v>
      </c>
      <c r="AK89" s="1492">
        <v>0</v>
      </c>
      <c r="AL89" s="1492">
        <v>0</v>
      </c>
      <c r="AM89" s="1492">
        <v>0</v>
      </c>
      <c r="AN89" s="1492">
        <v>0</v>
      </c>
      <c r="AO89" s="1492">
        <v>0</v>
      </c>
      <c r="AP89" s="1492">
        <v>0</v>
      </c>
      <c r="AQ89" s="1492">
        <v>0</v>
      </c>
      <c r="AR89" s="1492">
        <v>0</v>
      </c>
      <c r="AS89" s="1492">
        <v>0</v>
      </c>
    </row>
    <row r="90" s="1480" customFormat="1" spans="1:45">
      <c r="A90" s="1488" t="s">
        <v>195</v>
      </c>
      <c r="B90" s="1489" t="s">
        <v>234</v>
      </c>
      <c r="C90" s="1564">
        <v>93600</v>
      </c>
      <c r="D90" s="1494">
        <v>0</v>
      </c>
      <c r="E90" s="1494">
        <v>0</v>
      </c>
      <c r="F90" s="1494">
        <v>0</v>
      </c>
      <c r="G90" s="1494">
        <v>0</v>
      </c>
      <c r="H90" s="1494">
        <v>0</v>
      </c>
      <c r="I90" s="1494">
        <v>0</v>
      </c>
      <c r="J90" s="1494">
        <v>0</v>
      </c>
      <c r="K90" s="1494">
        <v>0</v>
      </c>
      <c r="L90" s="1494">
        <v>0</v>
      </c>
      <c r="M90" s="1494">
        <v>0</v>
      </c>
      <c r="N90" s="1494">
        <v>0</v>
      </c>
      <c r="O90" s="1494">
        <v>0</v>
      </c>
      <c r="P90" s="1494">
        <v>0</v>
      </c>
      <c r="Q90" s="1494">
        <v>0</v>
      </c>
      <c r="R90" s="1494">
        <v>0</v>
      </c>
      <c r="S90" s="1494">
        <v>0</v>
      </c>
      <c r="T90" s="1565">
        <v>0</v>
      </c>
      <c r="U90" s="1565">
        <v>23400</v>
      </c>
      <c r="V90" s="1565">
        <v>23400</v>
      </c>
      <c r="W90" s="1565">
        <v>23400</v>
      </c>
      <c r="X90" s="1565">
        <v>23400</v>
      </c>
      <c r="Y90" s="1565">
        <v>0</v>
      </c>
      <c r="Z90" s="1565">
        <v>0</v>
      </c>
      <c r="AA90" s="1565">
        <v>0</v>
      </c>
      <c r="AB90" s="1565">
        <v>0</v>
      </c>
      <c r="AC90" s="1565">
        <v>0</v>
      </c>
      <c r="AD90" s="1565">
        <v>0</v>
      </c>
      <c r="AE90" s="1565">
        <v>0</v>
      </c>
      <c r="AF90" s="1565">
        <v>0</v>
      </c>
      <c r="AG90" s="1565">
        <v>0</v>
      </c>
      <c r="AH90" s="1565">
        <v>0</v>
      </c>
      <c r="AI90" s="1565">
        <v>0</v>
      </c>
      <c r="AJ90" s="1565">
        <v>0</v>
      </c>
      <c r="AK90" s="1565">
        <v>0</v>
      </c>
      <c r="AL90" s="1565">
        <v>0</v>
      </c>
      <c r="AM90" s="1565">
        <v>0</v>
      </c>
      <c r="AN90" s="1565">
        <v>0</v>
      </c>
      <c r="AO90" s="1565">
        <v>0</v>
      </c>
      <c r="AP90" s="1565">
        <v>0</v>
      </c>
      <c r="AQ90" s="1565">
        <v>0</v>
      </c>
      <c r="AR90" s="1565">
        <v>0</v>
      </c>
      <c r="AS90" s="1565">
        <v>0</v>
      </c>
    </row>
    <row r="91" s="1480" customFormat="1" spans="1:45">
      <c r="A91" s="1488">
        <v>0</v>
      </c>
      <c r="B91" s="1489" t="s">
        <v>323</v>
      </c>
      <c r="C91" s="1564">
        <v>10967.4892283588</v>
      </c>
      <c r="D91" s="1494">
        <v>0</v>
      </c>
      <c r="E91" s="1494">
        <v>0</v>
      </c>
      <c r="F91" s="1564">
        <v>0</v>
      </c>
      <c r="G91" s="1564">
        <v>0</v>
      </c>
      <c r="H91" s="1494">
        <v>0</v>
      </c>
      <c r="I91" s="1494">
        <v>10967.4892283588</v>
      </c>
      <c r="J91" s="1494">
        <v>10967.4892283588</v>
      </c>
      <c r="K91" s="1494">
        <v>10967.4892283588</v>
      </c>
      <c r="L91" s="1494">
        <v>10967.4892283588</v>
      </c>
      <c r="M91" s="1494">
        <v>10967.4892283588</v>
      </c>
      <c r="N91" s="1494">
        <v>10967.4892283588</v>
      </c>
      <c r="O91" s="1494">
        <v>10967.4892283588</v>
      </c>
      <c r="P91" s="1494">
        <v>10967.4892283588</v>
      </c>
      <c r="Q91" s="1494">
        <v>10967.4892283588</v>
      </c>
      <c r="R91" s="1494">
        <v>10967.4892283588</v>
      </c>
      <c r="S91" s="1494">
        <v>10967.4892283588</v>
      </c>
      <c r="T91" s="1494">
        <v>10967.4892283588</v>
      </c>
      <c r="U91" s="1494">
        <v>10967.4892283588</v>
      </c>
      <c r="V91" s="1494">
        <v>10967.4892283588</v>
      </c>
      <c r="W91" s="1494">
        <v>10967.4892283588</v>
      </c>
      <c r="X91" s="1494">
        <v>10967.4892283588</v>
      </c>
      <c r="Y91" s="1494">
        <v>10967.4892283588</v>
      </c>
      <c r="Z91" s="1494">
        <v>10967.4892283588</v>
      </c>
      <c r="AA91" s="1494">
        <v>10967.4892283588</v>
      </c>
      <c r="AB91" s="1494">
        <v>10967.4892283588</v>
      </c>
      <c r="AC91" s="1494">
        <v>10967.4892283588</v>
      </c>
      <c r="AD91" s="1494">
        <v>10967.4892283588</v>
      </c>
      <c r="AE91" s="1494">
        <v>10967.4892283588</v>
      </c>
      <c r="AF91" s="1494">
        <v>10967.4892283588</v>
      </c>
      <c r="AG91" s="1494">
        <v>10967.4892283588</v>
      </c>
      <c r="AH91" s="1494">
        <v>10967.4892283588</v>
      </c>
      <c r="AI91" s="1494">
        <v>10967.4892283588</v>
      </c>
      <c r="AJ91" s="1494">
        <v>10967.4892283588</v>
      </c>
      <c r="AK91" s="1494">
        <v>10967.4892283588</v>
      </c>
      <c r="AL91" s="1494">
        <v>10967.4892283588</v>
      </c>
      <c r="AM91" s="1494">
        <v>10967.4892283588</v>
      </c>
      <c r="AN91" s="1494">
        <v>10967.4892283588</v>
      </c>
      <c r="AO91" s="1494">
        <v>10967.4892283588</v>
      </c>
      <c r="AP91" s="1494">
        <v>10967.4892283588</v>
      </c>
      <c r="AQ91" s="1494">
        <v>10967.4892283588</v>
      </c>
      <c r="AR91" s="1494">
        <v>10967.4892283588</v>
      </c>
      <c r="AS91" s="1494">
        <v>10967.4892283588</v>
      </c>
    </row>
    <row r="92" spans="1:45">
      <c r="A92" s="1491">
        <v>0</v>
      </c>
      <c r="B92" s="1492" t="s">
        <v>324</v>
      </c>
      <c r="C92" s="1492">
        <v>102655.699177438</v>
      </c>
      <c r="D92" s="1492">
        <v>0</v>
      </c>
      <c r="E92" s="1492">
        <v>0</v>
      </c>
      <c r="F92" s="1492">
        <v>0</v>
      </c>
      <c r="G92" s="1492">
        <v>0</v>
      </c>
      <c r="H92" s="1492">
        <v>0</v>
      </c>
      <c r="I92" s="1492">
        <v>0</v>
      </c>
      <c r="J92" s="1492">
        <v>0</v>
      </c>
      <c r="K92" s="1492">
        <v>0</v>
      </c>
      <c r="L92" s="1492">
        <v>0</v>
      </c>
      <c r="M92" s="1492">
        <v>0</v>
      </c>
      <c r="N92" s="1492">
        <v>0</v>
      </c>
      <c r="O92" s="1492">
        <v>0</v>
      </c>
      <c r="P92" s="1492">
        <v>0</v>
      </c>
      <c r="Q92" s="1492">
        <v>0</v>
      </c>
      <c r="R92" s="1492">
        <v>0</v>
      </c>
      <c r="S92" s="1492">
        <v>0</v>
      </c>
      <c r="T92" s="1492">
        <v>0</v>
      </c>
      <c r="U92" s="1492">
        <v>25663.9247943596</v>
      </c>
      <c r="V92" s="1492">
        <v>25663.9247943596</v>
      </c>
      <c r="W92" s="1492">
        <v>25663.9247943596</v>
      </c>
      <c r="X92" s="1492">
        <v>25663.9247943596</v>
      </c>
      <c r="Y92" s="1492">
        <v>0</v>
      </c>
      <c r="Z92" s="1492">
        <v>0</v>
      </c>
      <c r="AA92" s="1492">
        <v>0</v>
      </c>
      <c r="AB92" s="1492">
        <v>0</v>
      </c>
      <c r="AC92" s="1492">
        <v>0</v>
      </c>
      <c r="AD92" s="1492">
        <v>0</v>
      </c>
      <c r="AE92" s="1492">
        <v>0</v>
      </c>
      <c r="AF92" s="1492">
        <v>0</v>
      </c>
      <c r="AG92" s="1492">
        <v>0</v>
      </c>
      <c r="AH92" s="1492">
        <v>0</v>
      </c>
      <c r="AI92" s="1492">
        <v>0</v>
      </c>
      <c r="AJ92" s="1492">
        <v>0</v>
      </c>
      <c r="AK92" s="1492">
        <v>0</v>
      </c>
      <c r="AL92" s="1492">
        <v>0</v>
      </c>
      <c r="AM92" s="1492">
        <v>0</v>
      </c>
      <c r="AN92" s="1492">
        <v>0</v>
      </c>
      <c r="AO92" s="1492">
        <v>0</v>
      </c>
      <c r="AP92" s="1492">
        <v>0</v>
      </c>
      <c r="AQ92" s="1492">
        <v>0</v>
      </c>
      <c r="AR92" s="1492">
        <v>0</v>
      </c>
      <c r="AS92" s="1492">
        <v>0</v>
      </c>
    </row>
    <row r="93" s="1480" customFormat="1" spans="1:45">
      <c r="A93" s="1488" t="s">
        <v>63</v>
      </c>
      <c r="B93" s="1489" t="s">
        <v>234</v>
      </c>
      <c r="C93" s="1564">
        <v>0</v>
      </c>
      <c r="D93" s="1494"/>
      <c r="E93" s="1494"/>
      <c r="F93" s="1494"/>
      <c r="G93" s="1494"/>
      <c r="H93" s="1494"/>
      <c r="I93" s="1494">
        <v>0</v>
      </c>
      <c r="J93" s="1494">
        <v>0</v>
      </c>
      <c r="K93" s="1494">
        <v>0</v>
      </c>
      <c r="L93" s="1494">
        <v>0</v>
      </c>
      <c r="M93" s="1494">
        <v>0</v>
      </c>
      <c r="N93" s="1494">
        <v>0</v>
      </c>
      <c r="O93" s="1494">
        <v>0</v>
      </c>
      <c r="P93" s="1494">
        <v>0</v>
      </c>
      <c r="Q93" s="1494">
        <v>0</v>
      </c>
      <c r="R93" s="1494">
        <v>0</v>
      </c>
      <c r="S93" s="1494">
        <v>0</v>
      </c>
      <c r="T93" s="1494">
        <v>0</v>
      </c>
      <c r="U93" s="1494">
        <v>0</v>
      </c>
      <c r="V93" s="1494">
        <v>0</v>
      </c>
      <c r="W93" s="1494">
        <v>0</v>
      </c>
      <c r="X93" s="1494">
        <v>0</v>
      </c>
      <c r="Y93" s="1494">
        <v>0</v>
      </c>
      <c r="Z93" s="1494">
        <v>0</v>
      </c>
      <c r="AA93" s="1494">
        <v>0</v>
      </c>
      <c r="AB93" s="1494">
        <v>0</v>
      </c>
      <c r="AC93" s="1494">
        <v>0</v>
      </c>
      <c r="AD93" s="1494">
        <v>0</v>
      </c>
      <c r="AE93" s="1494">
        <v>0</v>
      </c>
      <c r="AF93" s="1494">
        <v>0</v>
      </c>
      <c r="AG93" s="1494">
        <v>0</v>
      </c>
      <c r="AH93" s="1494">
        <v>0</v>
      </c>
      <c r="AI93" s="1494">
        <v>0</v>
      </c>
      <c r="AJ93" s="1494">
        <v>0</v>
      </c>
      <c r="AK93" s="1494">
        <v>0</v>
      </c>
      <c r="AL93" s="1494">
        <v>0</v>
      </c>
      <c r="AM93" s="1494">
        <v>0</v>
      </c>
      <c r="AN93" s="1494">
        <v>0</v>
      </c>
      <c r="AO93" s="1494">
        <v>0</v>
      </c>
      <c r="AP93" s="1494">
        <v>0</v>
      </c>
      <c r="AQ93" s="1494">
        <v>0</v>
      </c>
      <c r="AR93" s="1494">
        <v>0</v>
      </c>
      <c r="AS93" s="1494">
        <v>0</v>
      </c>
    </row>
    <row r="94" s="1480" customFormat="1" spans="1:45">
      <c r="A94" s="1488"/>
      <c r="B94" s="1489" t="s">
        <v>323</v>
      </c>
      <c r="C94" s="1564">
        <v>0</v>
      </c>
      <c r="D94" s="1494"/>
      <c r="E94" s="1494"/>
      <c r="F94" s="1564"/>
      <c r="G94" s="1564"/>
      <c r="H94" s="1494"/>
      <c r="I94" s="1494">
        <v>10810.8108108108</v>
      </c>
      <c r="J94" s="1494">
        <v>10810.8108108108</v>
      </c>
      <c r="K94" s="1494">
        <v>10810.8108108108</v>
      </c>
      <c r="L94" s="1494">
        <v>10810.8108108108</v>
      </c>
      <c r="M94" s="1494">
        <v>10810.8108108108</v>
      </c>
      <c r="N94" s="1494">
        <v>10810.8108108108</v>
      </c>
      <c r="O94" s="1494">
        <v>10810.8108108108</v>
      </c>
      <c r="P94" s="1494">
        <v>10810.8108108108</v>
      </c>
      <c r="Q94" s="1494">
        <v>10810.8108108108</v>
      </c>
      <c r="R94" s="1494">
        <v>10810.8108108108</v>
      </c>
      <c r="S94" s="1494">
        <v>10810.8108108108</v>
      </c>
      <c r="T94" s="1494">
        <v>10810.8108108108</v>
      </c>
      <c r="U94" s="1494">
        <v>10810.8108108108</v>
      </c>
      <c r="V94" s="1494">
        <v>10810.8108108108</v>
      </c>
      <c r="W94" s="1494">
        <v>10810.8108108108</v>
      </c>
      <c r="X94" s="1494">
        <v>10810.8108108108</v>
      </c>
      <c r="Y94" s="1494">
        <v>10810.8108108108</v>
      </c>
      <c r="Z94" s="1494">
        <v>10810.8108108108</v>
      </c>
      <c r="AA94" s="1494">
        <v>10810.8108108108</v>
      </c>
      <c r="AB94" s="1494">
        <v>10810.8108108108</v>
      </c>
      <c r="AC94" s="1494">
        <v>10810.8108108108</v>
      </c>
      <c r="AD94" s="1494">
        <v>10810.8108108108</v>
      </c>
      <c r="AE94" s="1494">
        <v>10810.8108108108</v>
      </c>
      <c r="AF94" s="1494">
        <v>10810.8108108108</v>
      </c>
      <c r="AG94" s="1494">
        <v>10810.8108108108</v>
      </c>
      <c r="AH94" s="1494">
        <v>10810.8108108108</v>
      </c>
      <c r="AI94" s="1494">
        <v>10810.8108108108</v>
      </c>
      <c r="AJ94" s="1494">
        <v>10810.8108108108</v>
      </c>
      <c r="AK94" s="1494">
        <v>10810.8108108108</v>
      </c>
      <c r="AL94" s="1494">
        <v>10810.8108108108</v>
      </c>
      <c r="AM94" s="1494">
        <v>10810.8108108108</v>
      </c>
      <c r="AN94" s="1494">
        <v>10810.8108108108</v>
      </c>
      <c r="AO94" s="1494">
        <v>10810.8108108108</v>
      </c>
      <c r="AP94" s="1494">
        <v>10810.8108108108</v>
      </c>
      <c r="AQ94" s="1494">
        <v>10810.8108108108</v>
      </c>
      <c r="AR94" s="1494">
        <v>10810.8108108108</v>
      </c>
      <c r="AS94" s="1494">
        <v>10810.8108108108</v>
      </c>
    </row>
    <row r="95" spans="1:45">
      <c r="A95" s="1491"/>
      <c r="B95" s="1492" t="s">
        <v>324</v>
      </c>
      <c r="C95" s="1492">
        <v>0</v>
      </c>
      <c r="D95" s="1492">
        <v>0</v>
      </c>
      <c r="E95" s="1492">
        <v>0</v>
      </c>
      <c r="F95" s="1492">
        <v>0</v>
      </c>
      <c r="G95" s="1492">
        <v>0</v>
      </c>
      <c r="H95" s="1492">
        <v>0</v>
      </c>
      <c r="I95" s="1492">
        <v>0</v>
      </c>
      <c r="J95" s="1492">
        <v>0</v>
      </c>
      <c r="K95" s="1492">
        <v>0</v>
      </c>
      <c r="L95" s="1492">
        <v>0</v>
      </c>
      <c r="M95" s="1492">
        <v>0</v>
      </c>
      <c r="N95" s="1492">
        <v>0</v>
      </c>
      <c r="O95" s="1492">
        <v>0</v>
      </c>
      <c r="P95" s="1492">
        <v>0</v>
      </c>
      <c r="Q95" s="1492">
        <v>0</v>
      </c>
      <c r="R95" s="1492">
        <v>0</v>
      </c>
      <c r="S95" s="1492">
        <v>0</v>
      </c>
      <c r="T95" s="1492">
        <v>0</v>
      </c>
      <c r="U95" s="1492">
        <v>0</v>
      </c>
      <c r="V95" s="1492">
        <v>0</v>
      </c>
      <c r="W95" s="1492">
        <v>0</v>
      </c>
      <c r="X95" s="1492">
        <v>0</v>
      </c>
      <c r="Y95" s="1492">
        <v>0</v>
      </c>
      <c r="Z95" s="1492">
        <v>0</v>
      </c>
      <c r="AA95" s="1492">
        <v>0</v>
      </c>
      <c r="AB95" s="1492">
        <v>0</v>
      </c>
      <c r="AC95" s="1492">
        <v>0</v>
      </c>
      <c r="AD95" s="1492">
        <v>0</v>
      </c>
      <c r="AE95" s="1492">
        <v>0</v>
      </c>
      <c r="AF95" s="1492">
        <v>0</v>
      </c>
      <c r="AG95" s="1492">
        <v>0</v>
      </c>
      <c r="AH95" s="1492">
        <v>0</v>
      </c>
      <c r="AI95" s="1492">
        <v>0</v>
      </c>
      <c r="AJ95" s="1492">
        <v>0</v>
      </c>
      <c r="AK95" s="1492">
        <v>0</v>
      </c>
      <c r="AL95" s="1492">
        <v>0</v>
      </c>
      <c r="AM95" s="1492">
        <v>0</v>
      </c>
      <c r="AN95" s="1492">
        <v>0</v>
      </c>
      <c r="AO95" s="1492">
        <v>0</v>
      </c>
      <c r="AP95" s="1492">
        <v>0</v>
      </c>
      <c r="AQ95" s="1492">
        <v>0</v>
      </c>
      <c r="AR95" s="1492">
        <v>0</v>
      </c>
      <c r="AS95" s="1492">
        <v>0</v>
      </c>
    </row>
    <row r="96" s="1480" customFormat="1" spans="1:45">
      <c r="A96" s="1488" t="s">
        <v>245</v>
      </c>
      <c r="B96" s="1489" t="s">
        <v>234</v>
      </c>
      <c r="C96" s="1564">
        <v>0</v>
      </c>
      <c r="D96" s="1494"/>
      <c r="E96" s="1494"/>
      <c r="F96" s="1494"/>
      <c r="G96" s="1494"/>
      <c r="H96" s="1494"/>
      <c r="I96" s="1494">
        <v>0</v>
      </c>
      <c r="J96" s="1494">
        <v>0</v>
      </c>
      <c r="K96" s="1494">
        <v>0</v>
      </c>
      <c r="L96" s="1494">
        <v>0</v>
      </c>
      <c r="M96" s="1494">
        <v>0</v>
      </c>
      <c r="N96" s="1494">
        <v>0</v>
      </c>
      <c r="O96" s="1494">
        <v>0</v>
      </c>
      <c r="P96" s="1494">
        <v>0</v>
      </c>
      <c r="Q96" s="1494">
        <v>0</v>
      </c>
      <c r="R96" s="1494">
        <v>0</v>
      </c>
      <c r="S96" s="1494">
        <v>0</v>
      </c>
      <c r="T96" s="1494">
        <v>0</v>
      </c>
      <c r="U96" s="1494">
        <v>0</v>
      </c>
      <c r="V96" s="1494">
        <v>0</v>
      </c>
      <c r="W96" s="1494">
        <v>0</v>
      </c>
      <c r="X96" s="1494">
        <v>0</v>
      </c>
      <c r="Y96" s="1494">
        <v>0</v>
      </c>
      <c r="Z96" s="1494">
        <v>0</v>
      </c>
      <c r="AA96" s="1494">
        <v>0</v>
      </c>
      <c r="AB96" s="1494">
        <v>0</v>
      </c>
      <c r="AC96" s="1494">
        <v>0</v>
      </c>
      <c r="AD96" s="1494">
        <v>0</v>
      </c>
      <c r="AE96" s="1494">
        <v>0</v>
      </c>
      <c r="AF96" s="1494">
        <v>0</v>
      </c>
      <c r="AG96" s="1494">
        <v>0</v>
      </c>
      <c r="AH96" s="1494">
        <v>0</v>
      </c>
      <c r="AI96" s="1494">
        <v>0</v>
      </c>
      <c r="AJ96" s="1494">
        <v>0</v>
      </c>
      <c r="AK96" s="1494">
        <v>0</v>
      </c>
      <c r="AL96" s="1494">
        <v>0</v>
      </c>
      <c r="AM96" s="1494">
        <v>0</v>
      </c>
      <c r="AN96" s="1494">
        <v>0</v>
      </c>
      <c r="AO96" s="1494">
        <v>0</v>
      </c>
      <c r="AP96" s="1494">
        <v>0</v>
      </c>
      <c r="AQ96" s="1494">
        <v>0</v>
      </c>
      <c r="AR96" s="1494">
        <v>0</v>
      </c>
      <c r="AS96" s="1494">
        <v>0</v>
      </c>
    </row>
    <row r="97" s="1480" customFormat="1" spans="1:45">
      <c r="A97" s="1488"/>
      <c r="B97" s="1489" t="s">
        <v>323</v>
      </c>
      <c r="C97" s="1564">
        <v>0</v>
      </c>
      <c r="D97" s="1494"/>
      <c r="E97" s="1494"/>
      <c r="F97" s="1564"/>
      <c r="G97" s="1564"/>
      <c r="H97" s="1494"/>
      <c r="I97" s="1494">
        <v>0</v>
      </c>
      <c r="J97" s="1494">
        <v>0</v>
      </c>
      <c r="K97" s="1494">
        <v>0</v>
      </c>
      <c r="L97" s="1494">
        <v>0</v>
      </c>
      <c r="M97" s="1494">
        <v>0</v>
      </c>
      <c r="N97" s="1494">
        <v>0</v>
      </c>
      <c r="O97" s="1494">
        <v>0</v>
      </c>
      <c r="P97" s="1494">
        <v>0</v>
      </c>
      <c r="Q97" s="1494">
        <v>0</v>
      </c>
      <c r="R97" s="1494">
        <v>0</v>
      </c>
      <c r="S97" s="1494">
        <v>0</v>
      </c>
      <c r="T97" s="1494">
        <v>0</v>
      </c>
      <c r="U97" s="1494">
        <v>0</v>
      </c>
      <c r="V97" s="1494">
        <v>0</v>
      </c>
      <c r="W97" s="1494">
        <v>0</v>
      </c>
      <c r="X97" s="1494">
        <v>0</v>
      </c>
      <c r="Y97" s="1494">
        <v>0</v>
      </c>
      <c r="Z97" s="1494">
        <v>0</v>
      </c>
      <c r="AA97" s="1494">
        <v>0</v>
      </c>
      <c r="AB97" s="1494">
        <v>0</v>
      </c>
      <c r="AC97" s="1494">
        <v>0</v>
      </c>
      <c r="AD97" s="1494">
        <v>0</v>
      </c>
      <c r="AE97" s="1494">
        <v>0</v>
      </c>
      <c r="AF97" s="1494">
        <v>0</v>
      </c>
      <c r="AG97" s="1494">
        <v>0</v>
      </c>
      <c r="AH97" s="1494">
        <v>0</v>
      </c>
      <c r="AI97" s="1494">
        <v>0</v>
      </c>
      <c r="AJ97" s="1494">
        <v>0</v>
      </c>
      <c r="AK97" s="1494">
        <v>0</v>
      </c>
      <c r="AL97" s="1494">
        <v>0</v>
      </c>
      <c r="AM97" s="1494">
        <v>0</v>
      </c>
      <c r="AN97" s="1494">
        <v>0</v>
      </c>
      <c r="AO97" s="1494">
        <v>0</v>
      </c>
      <c r="AP97" s="1494">
        <v>0</v>
      </c>
      <c r="AQ97" s="1494">
        <v>0</v>
      </c>
      <c r="AR97" s="1494">
        <v>0</v>
      </c>
      <c r="AS97" s="1494">
        <v>0</v>
      </c>
    </row>
    <row r="98" spans="1:45">
      <c r="A98" s="1491"/>
      <c r="B98" s="1492" t="s">
        <v>324</v>
      </c>
      <c r="C98" s="1492">
        <v>0</v>
      </c>
      <c r="D98" s="1492">
        <v>0</v>
      </c>
      <c r="E98" s="1492">
        <v>0</v>
      </c>
      <c r="F98" s="1492">
        <v>0</v>
      </c>
      <c r="G98" s="1492">
        <v>0</v>
      </c>
      <c r="H98" s="1492">
        <v>0</v>
      </c>
      <c r="I98" s="1492">
        <v>0</v>
      </c>
      <c r="J98" s="1492">
        <v>0</v>
      </c>
      <c r="K98" s="1492">
        <v>0</v>
      </c>
      <c r="L98" s="1492">
        <v>0</v>
      </c>
      <c r="M98" s="1492">
        <v>0</v>
      </c>
      <c r="N98" s="1492">
        <v>0</v>
      </c>
      <c r="O98" s="1492">
        <v>0</v>
      </c>
      <c r="P98" s="1492">
        <v>0</v>
      </c>
      <c r="Q98" s="1492">
        <v>0</v>
      </c>
      <c r="R98" s="1492">
        <v>0</v>
      </c>
      <c r="S98" s="1492">
        <v>0</v>
      </c>
      <c r="T98" s="1492">
        <v>0</v>
      </c>
      <c r="U98" s="1492">
        <v>0</v>
      </c>
      <c r="V98" s="1492">
        <v>0</v>
      </c>
      <c r="W98" s="1492">
        <v>0</v>
      </c>
      <c r="X98" s="1492">
        <v>0</v>
      </c>
      <c r="Y98" s="1492">
        <v>0</v>
      </c>
      <c r="Z98" s="1492">
        <v>0</v>
      </c>
      <c r="AA98" s="1492">
        <v>0</v>
      </c>
      <c r="AB98" s="1492">
        <v>0</v>
      </c>
      <c r="AC98" s="1492">
        <v>0</v>
      </c>
      <c r="AD98" s="1492">
        <v>0</v>
      </c>
      <c r="AE98" s="1492">
        <v>0</v>
      </c>
      <c r="AF98" s="1492">
        <v>0</v>
      </c>
      <c r="AG98" s="1492">
        <v>0</v>
      </c>
      <c r="AH98" s="1492">
        <v>0</v>
      </c>
      <c r="AI98" s="1492">
        <v>0</v>
      </c>
      <c r="AJ98" s="1492">
        <v>0</v>
      </c>
      <c r="AK98" s="1492">
        <v>0</v>
      </c>
      <c r="AL98" s="1492">
        <v>0</v>
      </c>
      <c r="AM98" s="1492">
        <v>0</v>
      </c>
      <c r="AN98" s="1492">
        <v>0</v>
      </c>
      <c r="AO98" s="1492">
        <v>0</v>
      </c>
      <c r="AP98" s="1492">
        <v>0</v>
      </c>
      <c r="AQ98" s="1492">
        <v>0</v>
      </c>
      <c r="AR98" s="1492">
        <v>0</v>
      </c>
      <c r="AS98" s="1492">
        <v>0</v>
      </c>
    </row>
    <row r="99" s="1480" customFormat="1" spans="1:45">
      <c r="A99" s="1488" t="s">
        <v>199</v>
      </c>
      <c r="B99" s="1489" t="s">
        <v>234</v>
      </c>
      <c r="C99" s="1564">
        <v>3000</v>
      </c>
      <c r="D99" s="1494">
        <v>0</v>
      </c>
      <c r="E99" s="1494">
        <v>0</v>
      </c>
      <c r="F99" s="1494">
        <v>0</v>
      </c>
      <c r="G99" s="1494">
        <v>0</v>
      </c>
      <c r="H99" s="1494">
        <v>0</v>
      </c>
      <c r="I99" s="1494">
        <v>0</v>
      </c>
      <c r="J99" s="1494">
        <v>0</v>
      </c>
      <c r="K99" s="1494">
        <v>0</v>
      </c>
      <c r="L99" s="1494">
        <v>0</v>
      </c>
      <c r="M99" s="1494">
        <v>0</v>
      </c>
      <c r="N99" s="1494">
        <v>0</v>
      </c>
      <c r="O99" s="1494">
        <v>0</v>
      </c>
      <c r="P99" s="1494">
        <v>0</v>
      </c>
      <c r="Q99" s="1494">
        <v>0</v>
      </c>
      <c r="R99" s="1494">
        <v>0</v>
      </c>
      <c r="S99" s="1494">
        <v>0</v>
      </c>
      <c r="T99" s="1565">
        <v>0</v>
      </c>
      <c r="U99" s="1565">
        <v>0</v>
      </c>
      <c r="V99" s="1565">
        <v>0</v>
      </c>
      <c r="W99" s="1565">
        <v>0</v>
      </c>
      <c r="X99" s="1565">
        <v>3000</v>
      </c>
      <c r="Y99" s="1565">
        <v>0</v>
      </c>
      <c r="Z99" s="1565">
        <v>0</v>
      </c>
      <c r="AA99" s="1565">
        <v>0</v>
      </c>
      <c r="AB99" s="1565">
        <v>0</v>
      </c>
      <c r="AC99" s="1565">
        <v>0</v>
      </c>
      <c r="AD99" s="1565">
        <v>0</v>
      </c>
      <c r="AE99" s="1565">
        <v>0</v>
      </c>
      <c r="AF99" s="1565">
        <v>0</v>
      </c>
      <c r="AG99" s="1565">
        <v>0</v>
      </c>
      <c r="AH99" s="1565">
        <v>0</v>
      </c>
      <c r="AI99" s="1565">
        <v>0</v>
      </c>
      <c r="AJ99" s="1565">
        <v>0</v>
      </c>
      <c r="AK99" s="1565">
        <v>0</v>
      </c>
      <c r="AL99" s="1565">
        <v>0</v>
      </c>
      <c r="AM99" s="1565">
        <v>0</v>
      </c>
      <c r="AN99" s="1565">
        <v>0</v>
      </c>
      <c r="AO99" s="1565">
        <v>0</v>
      </c>
      <c r="AP99" s="1565">
        <v>0</v>
      </c>
      <c r="AQ99" s="1565">
        <v>0</v>
      </c>
      <c r="AR99" s="1565">
        <v>0</v>
      </c>
      <c r="AS99" s="1565">
        <v>0</v>
      </c>
    </row>
    <row r="100" s="1480" customFormat="1" spans="1:45">
      <c r="A100" s="1488">
        <v>0</v>
      </c>
      <c r="B100" s="1489" t="s">
        <v>323</v>
      </c>
      <c r="C100" s="1564">
        <v>18018.018018018</v>
      </c>
      <c r="D100" s="1494">
        <v>0</v>
      </c>
      <c r="E100" s="1494">
        <v>0</v>
      </c>
      <c r="F100" s="1564">
        <v>0</v>
      </c>
      <c r="G100" s="1564">
        <v>0</v>
      </c>
      <c r="H100" s="1494">
        <v>0</v>
      </c>
      <c r="I100" s="1494">
        <v>18018.018018018</v>
      </c>
      <c r="J100" s="1494">
        <v>18018.018018018</v>
      </c>
      <c r="K100" s="1494">
        <v>18018.018018018</v>
      </c>
      <c r="L100" s="1494">
        <v>18018.018018018</v>
      </c>
      <c r="M100" s="1494">
        <v>18018.018018018</v>
      </c>
      <c r="N100" s="1494">
        <v>18018.018018018</v>
      </c>
      <c r="O100" s="1494">
        <v>18018.018018018</v>
      </c>
      <c r="P100" s="1494">
        <v>18018.018018018</v>
      </c>
      <c r="Q100" s="1494">
        <v>18018.018018018</v>
      </c>
      <c r="R100" s="1494">
        <v>18018.018018018</v>
      </c>
      <c r="S100" s="1494">
        <v>18018.018018018</v>
      </c>
      <c r="T100" s="1494">
        <v>18018.018018018</v>
      </c>
      <c r="U100" s="1494">
        <v>18018.018018018</v>
      </c>
      <c r="V100" s="1494">
        <v>18018.018018018</v>
      </c>
      <c r="W100" s="1494">
        <v>18018.018018018</v>
      </c>
      <c r="X100" s="1494">
        <v>18018.018018018</v>
      </c>
      <c r="Y100" s="1494">
        <v>18018.018018018</v>
      </c>
      <c r="Z100" s="1494">
        <v>18018.018018018</v>
      </c>
      <c r="AA100" s="1494">
        <v>18018.018018018</v>
      </c>
      <c r="AB100" s="1494">
        <v>18018.018018018</v>
      </c>
      <c r="AC100" s="1494">
        <v>18018.018018018</v>
      </c>
      <c r="AD100" s="1494">
        <v>18018.018018018</v>
      </c>
      <c r="AE100" s="1494">
        <v>18018.018018018</v>
      </c>
      <c r="AF100" s="1494">
        <v>18018.018018018</v>
      </c>
      <c r="AG100" s="1494">
        <v>18018.018018018</v>
      </c>
      <c r="AH100" s="1494">
        <v>18018.018018018</v>
      </c>
      <c r="AI100" s="1494">
        <v>18018.018018018</v>
      </c>
      <c r="AJ100" s="1494">
        <v>18018.018018018</v>
      </c>
      <c r="AK100" s="1494">
        <v>18018.018018018</v>
      </c>
      <c r="AL100" s="1494">
        <v>0</v>
      </c>
      <c r="AM100" s="1494">
        <v>0</v>
      </c>
      <c r="AN100" s="1494">
        <v>0</v>
      </c>
      <c r="AO100" s="1494">
        <v>0</v>
      </c>
      <c r="AP100" s="1494">
        <v>0</v>
      </c>
      <c r="AQ100" s="1494">
        <v>0</v>
      </c>
      <c r="AR100" s="1494">
        <v>0</v>
      </c>
      <c r="AS100" s="1494">
        <v>0</v>
      </c>
    </row>
    <row r="101" spans="1:45">
      <c r="A101" s="1491">
        <v>0</v>
      </c>
      <c r="B101" s="1492" t="s">
        <v>324</v>
      </c>
      <c r="C101" s="1492">
        <v>5405.4054054054</v>
      </c>
      <c r="D101" s="1492">
        <v>0</v>
      </c>
      <c r="E101" s="1492">
        <v>0</v>
      </c>
      <c r="F101" s="1492">
        <v>0</v>
      </c>
      <c r="G101" s="1492">
        <v>0</v>
      </c>
      <c r="H101" s="1492">
        <v>0</v>
      </c>
      <c r="I101" s="1492">
        <v>0</v>
      </c>
      <c r="J101" s="1492">
        <v>0</v>
      </c>
      <c r="K101" s="1492">
        <v>0</v>
      </c>
      <c r="L101" s="1492">
        <v>0</v>
      </c>
      <c r="M101" s="1492">
        <v>0</v>
      </c>
      <c r="N101" s="1492">
        <v>0</v>
      </c>
      <c r="O101" s="1492">
        <v>0</v>
      </c>
      <c r="P101" s="1492">
        <v>0</v>
      </c>
      <c r="Q101" s="1492">
        <v>0</v>
      </c>
      <c r="R101" s="1492">
        <v>0</v>
      </c>
      <c r="S101" s="1492">
        <v>0</v>
      </c>
      <c r="T101" s="1492">
        <v>0</v>
      </c>
      <c r="U101" s="1492">
        <v>0</v>
      </c>
      <c r="V101" s="1492">
        <v>0</v>
      </c>
      <c r="W101" s="1492">
        <v>0</v>
      </c>
      <c r="X101" s="1492">
        <v>5405.4054054054</v>
      </c>
      <c r="Y101" s="1492">
        <v>0</v>
      </c>
      <c r="Z101" s="1492">
        <v>0</v>
      </c>
      <c r="AA101" s="1492">
        <v>0</v>
      </c>
      <c r="AB101" s="1492">
        <v>0</v>
      </c>
      <c r="AC101" s="1492">
        <v>0</v>
      </c>
      <c r="AD101" s="1492">
        <v>0</v>
      </c>
      <c r="AE101" s="1492">
        <v>0</v>
      </c>
      <c r="AF101" s="1492">
        <v>0</v>
      </c>
      <c r="AG101" s="1492">
        <v>0</v>
      </c>
      <c r="AH101" s="1492">
        <v>0</v>
      </c>
      <c r="AI101" s="1492">
        <v>0</v>
      </c>
      <c r="AJ101" s="1492">
        <v>0</v>
      </c>
      <c r="AK101" s="1492">
        <v>0</v>
      </c>
      <c r="AL101" s="1492">
        <v>0</v>
      </c>
      <c r="AM101" s="1492">
        <v>0</v>
      </c>
      <c r="AN101" s="1492">
        <v>0</v>
      </c>
      <c r="AO101" s="1492">
        <v>0</v>
      </c>
      <c r="AP101" s="1492">
        <v>0</v>
      </c>
      <c r="AQ101" s="1492">
        <v>0</v>
      </c>
      <c r="AR101" s="1492">
        <v>0</v>
      </c>
      <c r="AS101" s="1492">
        <v>0</v>
      </c>
    </row>
    <row r="102" spans="1:45">
      <c r="A102" s="1487" t="s">
        <v>53</v>
      </c>
      <c r="B102" s="1484" t="s">
        <v>234</v>
      </c>
      <c r="C102" s="1483">
        <v>13190</v>
      </c>
      <c r="D102" s="1483">
        <v>0</v>
      </c>
      <c r="E102" s="1483">
        <v>0</v>
      </c>
      <c r="F102" s="1483">
        <v>0</v>
      </c>
      <c r="G102" s="1483">
        <v>0</v>
      </c>
      <c r="H102" s="1483">
        <v>0</v>
      </c>
      <c r="I102" s="1483">
        <v>0</v>
      </c>
      <c r="J102" s="1483">
        <v>0</v>
      </c>
      <c r="K102" s="1483">
        <v>0</v>
      </c>
      <c r="L102" s="1483">
        <v>0</v>
      </c>
      <c r="M102" s="1483">
        <v>0</v>
      </c>
      <c r="N102" s="1483">
        <v>0</v>
      </c>
      <c r="O102" s="1483">
        <v>0</v>
      </c>
      <c r="P102" s="1483">
        <v>0</v>
      </c>
      <c r="Q102" s="1483">
        <v>0</v>
      </c>
      <c r="R102" s="1483">
        <v>0</v>
      </c>
      <c r="S102" s="1483">
        <v>0</v>
      </c>
      <c r="T102" s="1483">
        <v>0</v>
      </c>
      <c r="U102" s="1483">
        <v>0</v>
      </c>
      <c r="V102" s="1483">
        <v>0</v>
      </c>
      <c r="W102" s="1483">
        <v>0</v>
      </c>
      <c r="X102" s="1483">
        <v>13190</v>
      </c>
      <c r="Y102" s="1483">
        <v>0</v>
      </c>
      <c r="Z102" s="1483">
        <v>0</v>
      </c>
      <c r="AA102" s="1483">
        <v>0</v>
      </c>
      <c r="AB102" s="1483">
        <v>0</v>
      </c>
      <c r="AC102" s="1483">
        <v>0</v>
      </c>
      <c r="AD102" s="1483">
        <v>0</v>
      </c>
      <c r="AE102" s="1483">
        <v>0</v>
      </c>
      <c r="AF102" s="1483">
        <v>0</v>
      </c>
      <c r="AG102" s="1483">
        <v>0</v>
      </c>
      <c r="AH102" s="1483">
        <v>0</v>
      </c>
      <c r="AI102" s="1483">
        <v>0</v>
      </c>
      <c r="AJ102" s="1483">
        <v>0</v>
      </c>
      <c r="AK102" s="1483">
        <v>0</v>
      </c>
      <c r="AL102" s="1483">
        <v>0</v>
      </c>
      <c r="AM102" s="1483">
        <v>0</v>
      </c>
      <c r="AN102" s="1483">
        <v>0</v>
      </c>
      <c r="AO102" s="1483">
        <v>0</v>
      </c>
      <c r="AP102" s="1483">
        <v>0</v>
      </c>
      <c r="AQ102" s="1483">
        <v>0</v>
      </c>
      <c r="AR102" s="1483">
        <v>0</v>
      </c>
      <c r="AS102" s="1483">
        <v>0</v>
      </c>
    </row>
    <row r="103" spans="1:45">
      <c r="A103" s="1487"/>
      <c r="B103" s="1484" t="s">
        <v>323</v>
      </c>
      <c r="C103" s="1483">
        <v>10810.8108108108</v>
      </c>
      <c r="D103" s="1483">
        <v>0</v>
      </c>
      <c r="E103" s="1483">
        <v>0</v>
      </c>
      <c r="F103" s="1483">
        <v>0</v>
      </c>
      <c r="G103" s="1483">
        <v>0</v>
      </c>
      <c r="H103" s="1483">
        <v>0</v>
      </c>
      <c r="I103" s="1483">
        <v>0</v>
      </c>
      <c r="J103" s="1483">
        <v>0</v>
      </c>
      <c r="K103" s="1483">
        <v>0</v>
      </c>
      <c r="L103" s="1483">
        <v>0</v>
      </c>
      <c r="M103" s="1483">
        <v>0</v>
      </c>
      <c r="N103" s="1483">
        <v>0</v>
      </c>
      <c r="O103" s="1483">
        <v>0</v>
      </c>
      <c r="P103" s="1483">
        <v>0</v>
      </c>
      <c r="Q103" s="1483">
        <v>0</v>
      </c>
      <c r="R103" s="1483">
        <v>0</v>
      </c>
      <c r="S103" s="1483">
        <v>0</v>
      </c>
      <c r="T103" s="1483">
        <v>0</v>
      </c>
      <c r="U103" s="1483">
        <v>0</v>
      </c>
      <c r="V103" s="1483">
        <v>0</v>
      </c>
      <c r="W103" s="1483">
        <v>0</v>
      </c>
      <c r="X103" s="1483">
        <v>10810.8108108108</v>
      </c>
      <c r="Y103" s="1483">
        <v>0</v>
      </c>
      <c r="Z103" s="1483">
        <v>0</v>
      </c>
      <c r="AA103" s="1483">
        <v>0</v>
      </c>
      <c r="AB103" s="1483">
        <v>0</v>
      </c>
      <c r="AC103" s="1483">
        <v>0</v>
      </c>
      <c r="AD103" s="1483">
        <v>0</v>
      </c>
      <c r="AE103" s="1483">
        <v>0</v>
      </c>
      <c r="AF103" s="1483">
        <v>0</v>
      </c>
      <c r="AG103" s="1483">
        <v>0</v>
      </c>
      <c r="AH103" s="1483">
        <v>0</v>
      </c>
      <c r="AI103" s="1483">
        <v>0</v>
      </c>
      <c r="AJ103" s="1483">
        <v>0</v>
      </c>
      <c r="AK103" s="1483">
        <v>0</v>
      </c>
      <c r="AL103" s="1483">
        <v>0</v>
      </c>
      <c r="AM103" s="1483">
        <v>0</v>
      </c>
      <c r="AN103" s="1483">
        <v>0</v>
      </c>
      <c r="AO103" s="1483">
        <v>0</v>
      </c>
      <c r="AP103" s="1483">
        <v>0</v>
      </c>
      <c r="AQ103" s="1483">
        <v>0</v>
      </c>
      <c r="AR103" s="1483">
        <v>0</v>
      </c>
      <c r="AS103" s="1483">
        <v>0</v>
      </c>
    </row>
    <row r="104" spans="1:45">
      <c r="A104" s="1487"/>
      <c r="B104" s="1484" t="s">
        <v>324</v>
      </c>
      <c r="C104" s="1483">
        <v>14259.4594594595</v>
      </c>
      <c r="D104" s="1483">
        <v>0</v>
      </c>
      <c r="E104" s="1483">
        <v>0</v>
      </c>
      <c r="F104" s="1483">
        <v>0</v>
      </c>
      <c r="G104" s="1483">
        <v>0</v>
      </c>
      <c r="H104" s="1483">
        <v>0</v>
      </c>
      <c r="I104" s="1483">
        <v>0</v>
      </c>
      <c r="J104" s="1483">
        <v>0</v>
      </c>
      <c r="K104" s="1483">
        <v>0</v>
      </c>
      <c r="L104" s="1483">
        <v>0</v>
      </c>
      <c r="M104" s="1483">
        <v>0</v>
      </c>
      <c r="N104" s="1483">
        <v>0</v>
      </c>
      <c r="O104" s="1483">
        <v>0</v>
      </c>
      <c r="P104" s="1483">
        <v>0</v>
      </c>
      <c r="Q104" s="1483">
        <v>0</v>
      </c>
      <c r="R104" s="1483">
        <v>0</v>
      </c>
      <c r="S104" s="1483">
        <v>0</v>
      </c>
      <c r="T104" s="1483">
        <v>0</v>
      </c>
      <c r="U104" s="1483">
        <v>0</v>
      </c>
      <c r="V104" s="1483">
        <v>0</v>
      </c>
      <c r="W104" s="1483">
        <v>0</v>
      </c>
      <c r="X104" s="1483">
        <v>14259.4594594595</v>
      </c>
      <c r="Y104" s="1483">
        <v>0</v>
      </c>
      <c r="Z104" s="1483">
        <v>0</v>
      </c>
      <c r="AA104" s="1483">
        <v>0</v>
      </c>
      <c r="AB104" s="1483">
        <v>0</v>
      </c>
      <c r="AC104" s="1483">
        <v>0</v>
      </c>
      <c r="AD104" s="1483">
        <v>0</v>
      </c>
      <c r="AE104" s="1483">
        <v>0</v>
      </c>
      <c r="AF104" s="1483">
        <v>0</v>
      </c>
      <c r="AG104" s="1483">
        <v>0</v>
      </c>
      <c r="AH104" s="1483">
        <v>0</v>
      </c>
      <c r="AI104" s="1483">
        <v>0</v>
      </c>
      <c r="AJ104" s="1483">
        <v>0</v>
      </c>
      <c r="AK104" s="1483">
        <v>0</v>
      </c>
      <c r="AL104" s="1483">
        <v>0</v>
      </c>
      <c r="AM104" s="1483">
        <v>0</v>
      </c>
      <c r="AN104" s="1483">
        <v>0</v>
      </c>
      <c r="AO104" s="1483">
        <v>0</v>
      </c>
      <c r="AP104" s="1483">
        <v>0</v>
      </c>
      <c r="AQ104" s="1483">
        <v>0</v>
      </c>
      <c r="AR104" s="1483">
        <v>0</v>
      </c>
      <c r="AS104" s="1483">
        <v>0</v>
      </c>
    </row>
    <row r="105" s="1480" customFormat="1" spans="1:45">
      <c r="A105" s="1488" t="s">
        <v>202</v>
      </c>
      <c r="B105" s="1489" t="s">
        <v>234</v>
      </c>
      <c r="C105" s="1564">
        <v>0</v>
      </c>
      <c r="D105" s="1494">
        <v>0</v>
      </c>
      <c r="E105" s="1494">
        <v>0</v>
      </c>
      <c r="F105" s="1494">
        <v>0</v>
      </c>
      <c r="G105" s="1494">
        <v>0</v>
      </c>
      <c r="H105" s="1494">
        <v>0</v>
      </c>
      <c r="I105" s="1494">
        <v>0</v>
      </c>
      <c r="J105" s="1494">
        <v>0</v>
      </c>
      <c r="K105" s="1494">
        <v>0</v>
      </c>
      <c r="L105" s="1494">
        <v>0</v>
      </c>
      <c r="M105" s="1494">
        <v>0</v>
      </c>
      <c r="N105" s="1494">
        <v>0</v>
      </c>
      <c r="O105" s="1494">
        <v>0</v>
      </c>
      <c r="P105" s="1494">
        <v>0</v>
      </c>
      <c r="Q105" s="1494">
        <v>0</v>
      </c>
      <c r="R105" s="1494">
        <v>0</v>
      </c>
      <c r="S105" s="1494">
        <v>0</v>
      </c>
      <c r="T105" s="1565">
        <v>0</v>
      </c>
      <c r="U105" s="1565">
        <v>0</v>
      </c>
      <c r="V105" s="1565">
        <v>0</v>
      </c>
      <c r="W105" s="1565">
        <v>0</v>
      </c>
      <c r="X105" s="1565">
        <v>0</v>
      </c>
      <c r="Y105" s="1565">
        <v>0</v>
      </c>
      <c r="Z105" s="1565">
        <v>0</v>
      </c>
      <c r="AA105" s="1565">
        <v>0</v>
      </c>
      <c r="AB105" s="1565">
        <v>0</v>
      </c>
      <c r="AC105" s="1565">
        <v>0</v>
      </c>
      <c r="AD105" s="1565">
        <v>0</v>
      </c>
      <c r="AE105" s="1565">
        <v>0</v>
      </c>
      <c r="AF105" s="1565">
        <v>0</v>
      </c>
      <c r="AG105" s="1565">
        <v>0</v>
      </c>
      <c r="AH105" s="1565">
        <v>0</v>
      </c>
      <c r="AI105" s="1565">
        <v>0</v>
      </c>
      <c r="AJ105" s="1565">
        <v>0</v>
      </c>
      <c r="AK105" s="1565">
        <v>0</v>
      </c>
      <c r="AL105" s="1565">
        <v>0</v>
      </c>
      <c r="AM105" s="1565">
        <v>0</v>
      </c>
      <c r="AN105" s="1565">
        <v>0</v>
      </c>
      <c r="AO105" s="1565">
        <v>0</v>
      </c>
      <c r="AP105" s="1565">
        <v>0</v>
      </c>
      <c r="AQ105" s="1565">
        <v>0</v>
      </c>
      <c r="AR105" s="1565">
        <v>0</v>
      </c>
      <c r="AS105" s="1565">
        <v>0</v>
      </c>
    </row>
    <row r="106" s="1480" customFormat="1" spans="1:45">
      <c r="A106" s="1488">
        <v>0</v>
      </c>
      <c r="B106" s="1489" t="s">
        <v>323</v>
      </c>
      <c r="C106" s="1564">
        <v>0</v>
      </c>
      <c r="D106" s="1494">
        <v>0</v>
      </c>
      <c r="E106" s="1494">
        <v>0</v>
      </c>
      <c r="F106" s="1564">
        <v>0</v>
      </c>
      <c r="G106" s="1564">
        <v>0</v>
      </c>
      <c r="H106" s="1494">
        <v>0</v>
      </c>
      <c r="I106" s="1494">
        <v>54054.054054054</v>
      </c>
      <c r="J106" s="1494">
        <v>54054.054054054</v>
      </c>
      <c r="K106" s="1494">
        <v>54054.054054054</v>
      </c>
      <c r="L106" s="1494">
        <v>54054.054054054</v>
      </c>
      <c r="M106" s="1494">
        <v>54054.054054054</v>
      </c>
      <c r="N106" s="1494">
        <v>54054.054054054</v>
      </c>
      <c r="O106" s="1494">
        <v>54054.054054054</v>
      </c>
      <c r="P106" s="1494">
        <v>54054.054054054</v>
      </c>
      <c r="Q106" s="1494">
        <v>54054.054054054</v>
      </c>
      <c r="R106" s="1494">
        <v>54054.054054054</v>
      </c>
      <c r="S106" s="1494">
        <v>54054.054054054</v>
      </c>
      <c r="T106" s="1494">
        <v>54054.054054054</v>
      </c>
      <c r="U106" s="1494">
        <v>54054.054054054</v>
      </c>
      <c r="V106" s="1494">
        <v>54054.054054054</v>
      </c>
      <c r="W106" s="1494">
        <v>54054.054054054</v>
      </c>
      <c r="X106" s="1494">
        <v>54054.054054054</v>
      </c>
      <c r="Y106" s="1494">
        <v>54054.054054054</v>
      </c>
      <c r="Z106" s="1494">
        <v>54054.054054054</v>
      </c>
      <c r="AA106" s="1494">
        <v>54054.054054054</v>
      </c>
      <c r="AB106" s="1494">
        <v>54054.054054054</v>
      </c>
      <c r="AC106" s="1494">
        <v>54054.054054054</v>
      </c>
      <c r="AD106" s="1494">
        <v>54054.054054054</v>
      </c>
      <c r="AE106" s="1494">
        <v>54054.054054054</v>
      </c>
      <c r="AF106" s="1494">
        <v>54054.054054054</v>
      </c>
      <c r="AG106" s="1494">
        <v>54054.054054054</v>
      </c>
      <c r="AH106" s="1494">
        <v>54054.054054054</v>
      </c>
      <c r="AI106" s="1494">
        <v>54054.054054054</v>
      </c>
      <c r="AJ106" s="1494">
        <v>54054.054054054</v>
      </c>
      <c r="AK106" s="1494">
        <v>54054.054054054</v>
      </c>
      <c r="AL106" s="1494">
        <v>54054.054054054</v>
      </c>
      <c r="AM106" s="1494">
        <v>54054.054054054</v>
      </c>
      <c r="AN106" s="1494">
        <v>54054.054054054</v>
      </c>
      <c r="AO106" s="1494">
        <v>0</v>
      </c>
      <c r="AP106" s="1494">
        <v>0</v>
      </c>
      <c r="AQ106" s="1494">
        <v>0</v>
      </c>
      <c r="AR106" s="1494">
        <v>0</v>
      </c>
      <c r="AS106" s="1494">
        <v>0</v>
      </c>
    </row>
    <row r="107" spans="1:45">
      <c r="A107" s="1491">
        <v>0</v>
      </c>
      <c r="B107" s="1492" t="s">
        <v>324</v>
      </c>
      <c r="C107" s="1492">
        <v>0</v>
      </c>
      <c r="D107" s="1492">
        <v>0</v>
      </c>
      <c r="E107" s="1492">
        <v>0</v>
      </c>
      <c r="F107" s="1492">
        <v>0</v>
      </c>
      <c r="G107" s="1492">
        <v>0</v>
      </c>
      <c r="H107" s="1492">
        <v>0</v>
      </c>
      <c r="I107" s="1492">
        <v>0</v>
      </c>
      <c r="J107" s="1492">
        <v>0</v>
      </c>
      <c r="K107" s="1492">
        <v>0</v>
      </c>
      <c r="L107" s="1492">
        <v>0</v>
      </c>
      <c r="M107" s="1492">
        <v>0</v>
      </c>
      <c r="N107" s="1492">
        <v>0</v>
      </c>
      <c r="O107" s="1492">
        <v>0</v>
      </c>
      <c r="P107" s="1492">
        <v>0</v>
      </c>
      <c r="Q107" s="1492">
        <v>0</v>
      </c>
      <c r="R107" s="1492">
        <v>0</v>
      </c>
      <c r="S107" s="1492">
        <v>0</v>
      </c>
      <c r="T107" s="1492">
        <v>0</v>
      </c>
      <c r="U107" s="1492">
        <v>0</v>
      </c>
      <c r="V107" s="1492">
        <v>0</v>
      </c>
      <c r="W107" s="1492">
        <v>0</v>
      </c>
      <c r="X107" s="1492">
        <v>0</v>
      </c>
      <c r="Y107" s="1492">
        <v>0</v>
      </c>
      <c r="Z107" s="1492">
        <v>0</v>
      </c>
      <c r="AA107" s="1492">
        <v>0</v>
      </c>
      <c r="AB107" s="1492">
        <v>0</v>
      </c>
      <c r="AC107" s="1492">
        <v>0</v>
      </c>
      <c r="AD107" s="1492">
        <v>0</v>
      </c>
      <c r="AE107" s="1492">
        <v>0</v>
      </c>
      <c r="AF107" s="1492">
        <v>0</v>
      </c>
      <c r="AG107" s="1492">
        <v>0</v>
      </c>
      <c r="AH107" s="1492">
        <v>0</v>
      </c>
      <c r="AI107" s="1492">
        <v>0</v>
      </c>
      <c r="AJ107" s="1492">
        <v>0</v>
      </c>
      <c r="AK107" s="1492">
        <v>0</v>
      </c>
      <c r="AL107" s="1492">
        <v>0</v>
      </c>
      <c r="AM107" s="1492">
        <v>0</v>
      </c>
      <c r="AN107" s="1492">
        <v>0</v>
      </c>
      <c r="AO107" s="1492">
        <v>0</v>
      </c>
      <c r="AP107" s="1492">
        <v>0</v>
      </c>
      <c r="AQ107" s="1492">
        <v>0</v>
      </c>
      <c r="AR107" s="1492">
        <v>0</v>
      </c>
      <c r="AS107" s="1492">
        <v>0</v>
      </c>
    </row>
    <row r="108" s="1480" customFormat="1" spans="1:45">
      <c r="A108" s="1488" t="s">
        <v>195</v>
      </c>
      <c r="B108" s="1489" t="s">
        <v>234</v>
      </c>
      <c r="C108" s="1564">
        <v>0</v>
      </c>
      <c r="D108" s="1494">
        <v>0</v>
      </c>
      <c r="E108" s="1494">
        <v>0</v>
      </c>
      <c r="F108" s="1494">
        <v>0</v>
      </c>
      <c r="G108" s="1494">
        <v>0</v>
      </c>
      <c r="H108" s="1494">
        <v>0</v>
      </c>
      <c r="I108" s="1494">
        <v>0</v>
      </c>
      <c r="J108" s="1494">
        <v>0</v>
      </c>
      <c r="K108" s="1494">
        <v>0</v>
      </c>
      <c r="L108" s="1494">
        <v>0</v>
      </c>
      <c r="M108" s="1494">
        <v>0</v>
      </c>
      <c r="N108" s="1494">
        <v>0</v>
      </c>
      <c r="O108" s="1494">
        <v>0</v>
      </c>
      <c r="P108" s="1494">
        <v>0</v>
      </c>
      <c r="Q108" s="1494">
        <v>0</v>
      </c>
      <c r="R108" s="1494">
        <v>0</v>
      </c>
      <c r="S108" s="1494">
        <v>0</v>
      </c>
      <c r="T108" s="1494">
        <v>0</v>
      </c>
      <c r="U108" s="1494">
        <v>0</v>
      </c>
      <c r="V108" s="1494">
        <v>0</v>
      </c>
      <c r="W108" s="1565">
        <v>0</v>
      </c>
      <c r="X108" s="1565">
        <v>0</v>
      </c>
      <c r="Y108" s="1565">
        <v>0</v>
      </c>
      <c r="Z108" s="1565">
        <v>0</v>
      </c>
      <c r="AA108" s="1565">
        <v>0</v>
      </c>
      <c r="AB108" s="1565">
        <v>0</v>
      </c>
      <c r="AC108" s="1565">
        <v>0</v>
      </c>
      <c r="AD108" s="1565">
        <v>0</v>
      </c>
      <c r="AE108" s="1565">
        <v>0</v>
      </c>
      <c r="AF108" s="1565">
        <v>0</v>
      </c>
      <c r="AG108" s="1565">
        <v>0</v>
      </c>
      <c r="AH108" s="1565">
        <v>0</v>
      </c>
      <c r="AI108" s="1565">
        <v>0</v>
      </c>
      <c r="AJ108" s="1565">
        <v>0</v>
      </c>
      <c r="AK108" s="1565">
        <v>0</v>
      </c>
      <c r="AL108" s="1565">
        <v>0</v>
      </c>
      <c r="AM108" s="1565">
        <v>0</v>
      </c>
      <c r="AN108" s="1565">
        <v>0</v>
      </c>
      <c r="AO108" s="1565">
        <v>0</v>
      </c>
      <c r="AP108" s="1565">
        <v>0</v>
      </c>
      <c r="AQ108" s="1565">
        <v>0</v>
      </c>
      <c r="AR108" s="1565">
        <v>0</v>
      </c>
      <c r="AS108" s="1565">
        <v>0</v>
      </c>
    </row>
    <row r="109" s="1480" customFormat="1" spans="1:45">
      <c r="A109" s="1488">
        <v>0</v>
      </c>
      <c r="B109" s="1489" t="s">
        <v>323</v>
      </c>
      <c r="C109" s="1564">
        <v>0</v>
      </c>
      <c r="D109" s="1494">
        <v>0</v>
      </c>
      <c r="E109" s="1494">
        <v>0</v>
      </c>
      <c r="F109" s="1564">
        <v>0</v>
      </c>
      <c r="G109" s="1564">
        <v>0</v>
      </c>
      <c r="H109" s="1494">
        <v>0</v>
      </c>
      <c r="I109" s="1494">
        <v>10967.4892283588</v>
      </c>
      <c r="J109" s="1494">
        <v>10967.4892283588</v>
      </c>
      <c r="K109" s="1494">
        <v>10967.4892283588</v>
      </c>
      <c r="L109" s="1494">
        <v>10967.4892283588</v>
      </c>
      <c r="M109" s="1494">
        <v>10967.4892283588</v>
      </c>
      <c r="N109" s="1494">
        <v>10967.4892283588</v>
      </c>
      <c r="O109" s="1494">
        <v>10967.4892283588</v>
      </c>
      <c r="P109" s="1494">
        <v>10967.4892283588</v>
      </c>
      <c r="Q109" s="1494">
        <v>10967.4892283588</v>
      </c>
      <c r="R109" s="1494">
        <v>10967.4892283588</v>
      </c>
      <c r="S109" s="1494">
        <v>10967.4892283588</v>
      </c>
      <c r="T109" s="1494">
        <v>10967.4892283588</v>
      </c>
      <c r="U109" s="1494">
        <v>10967.4892283588</v>
      </c>
      <c r="V109" s="1494">
        <v>10967.4892283588</v>
      </c>
      <c r="W109" s="1494">
        <v>10967.4892283588</v>
      </c>
      <c r="X109" s="1494">
        <v>10967.4892283588</v>
      </c>
      <c r="Y109" s="1494">
        <v>10967.4892283588</v>
      </c>
      <c r="Z109" s="1494">
        <v>10967.4892283588</v>
      </c>
      <c r="AA109" s="1494">
        <v>10967.4892283588</v>
      </c>
      <c r="AB109" s="1494">
        <v>10967.4892283588</v>
      </c>
      <c r="AC109" s="1494">
        <v>10967.4892283588</v>
      </c>
      <c r="AD109" s="1494">
        <v>10967.4892283588</v>
      </c>
      <c r="AE109" s="1494">
        <v>10967.4892283588</v>
      </c>
      <c r="AF109" s="1494">
        <v>10967.4892283588</v>
      </c>
      <c r="AG109" s="1494">
        <v>10967.4892283588</v>
      </c>
      <c r="AH109" s="1494">
        <v>10967.4892283588</v>
      </c>
      <c r="AI109" s="1494">
        <v>10967.4892283588</v>
      </c>
      <c r="AJ109" s="1494">
        <v>10967.4892283588</v>
      </c>
      <c r="AK109" s="1494">
        <v>10967.4892283588</v>
      </c>
      <c r="AL109" s="1494">
        <v>10967.4892283588</v>
      </c>
      <c r="AM109" s="1494">
        <v>10967.4892283588</v>
      </c>
      <c r="AN109" s="1494">
        <v>10967.4892283588</v>
      </c>
      <c r="AO109" s="1494">
        <v>10967.4892283588</v>
      </c>
      <c r="AP109" s="1494">
        <v>10967.4892283588</v>
      </c>
      <c r="AQ109" s="1494">
        <v>10967.4892283588</v>
      </c>
      <c r="AR109" s="1494">
        <v>10967.4892283588</v>
      </c>
      <c r="AS109" s="1494">
        <v>10967.4892283588</v>
      </c>
    </row>
    <row r="110" spans="1:45">
      <c r="A110" s="1491">
        <v>0</v>
      </c>
      <c r="B110" s="1492" t="s">
        <v>324</v>
      </c>
      <c r="C110" s="1492">
        <v>0</v>
      </c>
      <c r="D110" s="1492">
        <v>0</v>
      </c>
      <c r="E110" s="1492">
        <v>0</v>
      </c>
      <c r="F110" s="1492">
        <v>0</v>
      </c>
      <c r="G110" s="1492">
        <v>0</v>
      </c>
      <c r="H110" s="1492">
        <v>0</v>
      </c>
      <c r="I110" s="1492">
        <v>0</v>
      </c>
      <c r="J110" s="1492">
        <v>0</v>
      </c>
      <c r="K110" s="1492">
        <v>0</v>
      </c>
      <c r="L110" s="1492">
        <v>0</v>
      </c>
      <c r="M110" s="1492">
        <v>0</v>
      </c>
      <c r="N110" s="1492">
        <v>0</v>
      </c>
      <c r="O110" s="1492">
        <v>0</v>
      </c>
      <c r="P110" s="1492">
        <v>0</v>
      </c>
      <c r="Q110" s="1492">
        <v>0</v>
      </c>
      <c r="R110" s="1492">
        <v>0</v>
      </c>
      <c r="S110" s="1492">
        <v>0</v>
      </c>
      <c r="T110" s="1492">
        <v>0</v>
      </c>
      <c r="U110" s="1492">
        <v>0</v>
      </c>
      <c r="V110" s="1492">
        <v>0</v>
      </c>
      <c r="W110" s="1492">
        <v>0</v>
      </c>
      <c r="X110" s="1492">
        <v>0</v>
      </c>
      <c r="Y110" s="1492">
        <v>0</v>
      </c>
      <c r="Z110" s="1492">
        <v>0</v>
      </c>
      <c r="AA110" s="1492">
        <v>0</v>
      </c>
      <c r="AB110" s="1492">
        <v>0</v>
      </c>
      <c r="AC110" s="1492">
        <v>0</v>
      </c>
      <c r="AD110" s="1492">
        <v>0</v>
      </c>
      <c r="AE110" s="1492">
        <v>0</v>
      </c>
      <c r="AF110" s="1492">
        <v>0</v>
      </c>
      <c r="AG110" s="1492">
        <v>0</v>
      </c>
      <c r="AH110" s="1492">
        <v>0</v>
      </c>
      <c r="AI110" s="1492">
        <v>0</v>
      </c>
      <c r="AJ110" s="1492">
        <v>0</v>
      </c>
      <c r="AK110" s="1492">
        <v>0</v>
      </c>
      <c r="AL110" s="1492">
        <v>0</v>
      </c>
      <c r="AM110" s="1492">
        <v>0</v>
      </c>
      <c r="AN110" s="1492">
        <v>0</v>
      </c>
      <c r="AO110" s="1492">
        <v>0</v>
      </c>
      <c r="AP110" s="1492">
        <v>0</v>
      </c>
      <c r="AQ110" s="1492">
        <v>0</v>
      </c>
      <c r="AR110" s="1492">
        <v>0</v>
      </c>
      <c r="AS110" s="1492">
        <v>0</v>
      </c>
    </row>
    <row r="111" s="1480" customFormat="1" spans="1:45">
      <c r="A111" s="1488" t="s">
        <v>63</v>
      </c>
      <c r="B111" s="1489" t="s">
        <v>234</v>
      </c>
      <c r="C111" s="1564">
        <v>13190</v>
      </c>
      <c r="D111" s="1494"/>
      <c r="E111" s="1494"/>
      <c r="F111" s="1494"/>
      <c r="G111" s="1494"/>
      <c r="H111" s="1494"/>
      <c r="I111" s="1494">
        <v>0</v>
      </c>
      <c r="J111" s="1494">
        <v>0</v>
      </c>
      <c r="K111" s="1494">
        <v>0</v>
      </c>
      <c r="L111" s="1494">
        <v>0</v>
      </c>
      <c r="M111" s="1494">
        <v>0</v>
      </c>
      <c r="N111" s="1494">
        <v>0</v>
      </c>
      <c r="O111" s="1494">
        <v>0</v>
      </c>
      <c r="P111" s="1494">
        <v>0</v>
      </c>
      <c r="Q111" s="1494">
        <v>0</v>
      </c>
      <c r="R111" s="1494">
        <v>0</v>
      </c>
      <c r="S111" s="1494">
        <v>0</v>
      </c>
      <c r="T111" s="1494">
        <v>0</v>
      </c>
      <c r="U111" s="1494">
        <v>0</v>
      </c>
      <c r="V111" s="1494">
        <v>0</v>
      </c>
      <c r="W111" s="1494">
        <v>0</v>
      </c>
      <c r="X111" s="1494">
        <v>13190</v>
      </c>
      <c r="Y111" s="1494">
        <v>0</v>
      </c>
      <c r="Z111" s="1494">
        <v>0</v>
      </c>
      <c r="AA111" s="1494">
        <v>0</v>
      </c>
      <c r="AB111" s="1494">
        <v>0</v>
      </c>
      <c r="AC111" s="1494">
        <v>0</v>
      </c>
      <c r="AD111" s="1494">
        <v>0</v>
      </c>
      <c r="AE111" s="1494">
        <v>0</v>
      </c>
      <c r="AF111" s="1494">
        <v>0</v>
      </c>
      <c r="AG111" s="1494">
        <v>0</v>
      </c>
      <c r="AH111" s="1494">
        <v>0</v>
      </c>
      <c r="AI111" s="1494">
        <v>0</v>
      </c>
      <c r="AJ111" s="1494">
        <v>0</v>
      </c>
      <c r="AK111" s="1494">
        <v>0</v>
      </c>
      <c r="AL111" s="1494">
        <v>0</v>
      </c>
      <c r="AM111" s="1494">
        <v>0</v>
      </c>
      <c r="AN111" s="1494">
        <v>0</v>
      </c>
      <c r="AO111" s="1494">
        <v>0</v>
      </c>
      <c r="AP111" s="1494">
        <v>0</v>
      </c>
      <c r="AQ111" s="1494">
        <v>0</v>
      </c>
      <c r="AR111" s="1494">
        <v>0</v>
      </c>
      <c r="AS111" s="1494">
        <v>0</v>
      </c>
    </row>
    <row r="112" s="1480" customFormat="1" spans="1:45">
      <c r="A112" s="1488"/>
      <c r="B112" s="1489" t="s">
        <v>323</v>
      </c>
      <c r="C112" s="1564">
        <v>10810.8108108108</v>
      </c>
      <c r="D112" s="1494"/>
      <c r="E112" s="1494"/>
      <c r="F112" s="1564"/>
      <c r="G112" s="1564"/>
      <c r="H112" s="1494"/>
      <c r="I112" s="1494">
        <v>10810.8108108108</v>
      </c>
      <c r="J112" s="1494">
        <v>10810.8108108108</v>
      </c>
      <c r="K112" s="1494">
        <v>10810.8108108108</v>
      </c>
      <c r="L112" s="1494">
        <v>10810.8108108108</v>
      </c>
      <c r="M112" s="1494">
        <v>10810.8108108108</v>
      </c>
      <c r="N112" s="1494">
        <v>10810.8108108108</v>
      </c>
      <c r="O112" s="1494">
        <v>10810.8108108108</v>
      </c>
      <c r="P112" s="1494">
        <v>10810.8108108108</v>
      </c>
      <c r="Q112" s="1494">
        <v>10810.8108108108</v>
      </c>
      <c r="R112" s="1494">
        <v>10810.8108108108</v>
      </c>
      <c r="S112" s="1494">
        <v>10810.8108108108</v>
      </c>
      <c r="T112" s="1494">
        <v>10810.8108108108</v>
      </c>
      <c r="U112" s="1494">
        <v>10810.8108108108</v>
      </c>
      <c r="V112" s="1494">
        <v>10810.8108108108</v>
      </c>
      <c r="W112" s="1494">
        <v>10810.8108108108</v>
      </c>
      <c r="X112" s="1494">
        <v>10810.8108108108</v>
      </c>
      <c r="Y112" s="1494">
        <v>10810.8108108108</v>
      </c>
      <c r="Z112" s="1494">
        <v>10810.8108108108</v>
      </c>
      <c r="AA112" s="1494">
        <v>10810.8108108108</v>
      </c>
      <c r="AB112" s="1494">
        <v>10810.8108108108</v>
      </c>
      <c r="AC112" s="1494">
        <v>10810.8108108108</v>
      </c>
      <c r="AD112" s="1494">
        <v>10810.8108108108</v>
      </c>
      <c r="AE112" s="1494">
        <v>10810.8108108108</v>
      </c>
      <c r="AF112" s="1494">
        <v>10810.8108108108</v>
      </c>
      <c r="AG112" s="1494">
        <v>10810.8108108108</v>
      </c>
      <c r="AH112" s="1494">
        <v>10810.8108108108</v>
      </c>
      <c r="AI112" s="1494">
        <v>10810.8108108108</v>
      </c>
      <c r="AJ112" s="1494">
        <v>10810.8108108108</v>
      </c>
      <c r="AK112" s="1494">
        <v>10810.8108108108</v>
      </c>
      <c r="AL112" s="1494">
        <v>10810.8108108108</v>
      </c>
      <c r="AM112" s="1494">
        <v>10810.8108108108</v>
      </c>
      <c r="AN112" s="1494">
        <v>10810.8108108108</v>
      </c>
      <c r="AO112" s="1494">
        <v>10810.8108108108</v>
      </c>
      <c r="AP112" s="1494">
        <v>10810.8108108108</v>
      </c>
      <c r="AQ112" s="1494">
        <v>10810.8108108108</v>
      </c>
      <c r="AR112" s="1494">
        <v>10810.8108108108</v>
      </c>
      <c r="AS112" s="1494">
        <v>10810.8108108108</v>
      </c>
    </row>
    <row r="113" spans="1:45">
      <c r="A113" s="1491"/>
      <c r="B113" s="1492" t="s">
        <v>324</v>
      </c>
      <c r="C113" s="1492">
        <v>14259.4594594595</v>
      </c>
      <c r="D113" s="1492">
        <v>0</v>
      </c>
      <c r="E113" s="1492">
        <v>0</v>
      </c>
      <c r="F113" s="1492">
        <v>0</v>
      </c>
      <c r="G113" s="1492">
        <v>0</v>
      </c>
      <c r="H113" s="1492">
        <v>0</v>
      </c>
      <c r="I113" s="1492">
        <v>0</v>
      </c>
      <c r="J113" s="1492">
        <v>0</v>
      </c>
      <c r="K113" s="1492">
        <v>0</v>
      </c>
      <c r="L113" s="1492">
        <v>0</v>
      </c>
      <c r="M113" s="1492">
        <v>0</v>
      </c>
      <c r="N113" s="1492">
        <v>0</v>
      </c>
      <c r="O113" s="1492">
        <v>0</v>
      </c>
      <c r="P113" s="1492">
        <v>0</v>
      </c>
      <c r="Q113" s="1492">
        <v>0</v>
      </c>
      <c r="R113" s="1492">
        <v>0</v>
      </c>
      <c r="S113" s="1492">
        <v>0</v>
      </c>
      <c r="T113" s="1492">
        <v>0</v>
      </c>
      <c r="U113" s="1492">
        <v>0</v>
      </c>
      <c r="V113" s="1492">
        <v>0</v>
      </c>
      <c r="W113" s="1492">
        <v>0</v>
      </c>
      <c r="X113" s="1492">
        <v>14259.4594594595</v>
      </c>
      <c r="Y113" s="1492">
        <v>0</v>
      </c>
      <c r="Z113" s="1492">
        <v>0</v>
      </c>
      <c r="AA113" s="1492">
        <v>0</v>
      </c>
      <c r="AB113" s="1492">
        <v>0</v>
      </c>
      <c r="AC113" s="1492">
        <v>0</v>
      </c>
      <c r="AD113" s="1492">
        <v>0</v>
      </c>
      <c r="AE113" s="1492">
        <v>0</v>
      </c>
      <c r="AF113" s="1492">
        <v>0</v>
      </c>
      <c r="AG113" s="1492">
        <v>0</v>
      </c>
      <c r="AH113" s="1492">
        <v>0</v>
      </c>
      <c r="AI113" s="1492">
        <v>0</v>
      </c>
      <c r="AJ113" s="1492">
        <v>0</v>
      </c>
      <c r="AK113" s="1492">
        <v>0</v>
      </c>
      <c r="AL113" s="1492">
        <v>0</v>
      </c>
      <c r="AM113" s="1492">
        <v>0</v>
      </c>
      <c r="AN113" s="1492">
        <v>0</v>
      </c>
      <c r="AO113" s="1492">
        <v>0</v>
      </c>
      <c r="AP113" s="1492">
        <v>0</v>
      </c>
      <c r="AQ113" s="1492">
        <v>0</v>
      </c>
      <c r="AR113" s="1492">
        <v>0</v>
      </c>
      <c r="AS113" s="1492">
        <v>0</v>
      </c>
    </row>
    <row r="114" s="1480" customFormat="1" spans="1:45">
      <c r="A114" s="1488" t="s">
        <v>245</v>
      </c>
      <c r="B114" s="1489" t="s">
        <v>234</v>
      </c>
      <c r="C114" s="1564">
        <v>0</v>
      </c>
      <c r="D114" s="1494"/>
      <c r="E114" s="1494"/>
      <c r="F114" s="1494"/>
      <c r="G114" s="1494"/>
      <c r="H114" s="1494"/>
      <c r="I114" s="1494">
        <v>0</v>
      </c>
      <c r="J114" s="1494">
        <v>0</v>
      </c>
      <c r="K114" s="1494">
        <v>0</v>
      </c>
      <c r="L114" s="1494">
        <v>0</v>
      </c>
      <c r="M114" s="1494">
        <v>0</v>
      </c>
      <c r="N114" s="1494">
        <v>0</v>
      </c>
      <c r="O114" s="1494">
        <v>0</v>
      </c>
      <c r="P114" s="1494">
        <v>0</v>
      </c>
      <c r="Q114" s="1494">
        <v>0</v>
      </c>
      <c r="R114" s="1494">
        <v>0</v>
      </c>
      <c r="S114" s="1494">
        <v>0</v>
      </c>
      <c r="T114" s="1494">
        <v>0</v>
      </c>
      <c r="U114" s="1494">
        <v>0</v>
      </c>
      <c r="V114" s="1494">
        <v>0</v>
      </c>
      <c r="W114" s="1494">
        <v>0</v>
      </c>
      <c r="X114" s="1494">
        <v>0</v>
      </c>
      <c r="Y114" s="1494">
        <v>0</v>
      </c>
      <c r="Z114" s="1494">
        <v>0</v>
      </c>
      <c r="AA114" s="1494">
        <v>0</v>
      </c>
      <c r="AB114" s="1494">
        <v>0</v>
      </c>
      <c r="AC114" s="1494">
        <v>0</v>
      </c>
      <c r="AD114" s="1494">
        <v>0</v>
      </c>
      <c r="AE114" s="1494">
        <v>0</v>
      </c>
      <c r="AF114" s="1494">
        <v>0</v>
      </c>
      <c r="AG114" s="1494">
        <v>0</v>
      </c>
      <c r="AH114" s="1494">
        <v>0</v>
      </c>
      <c r="AI114" s="1494">
        <v>0</v>
      </c>
      <c r="AJ114" s="1494">
        <v>0</v>
      </c>
      <c r="AK114" s="1494">
        <v>0</v>
      </c>
      <c r="AL114" s="1494">
        <v>0</v>
      </c>
      <c r="AM114" s="1494">
        <v>0</v>
      </c>
      <c r="AN114" s="1494">
        <v>0</v>
      </c>
      <c r="AO114" s="1494">
        <v>0</v>
      </c>
      <c r="AP114" s="1494">
        <v>0</v>
      </c>
      <c r="AQ114" s="1494">
        <v>0</v>
      </c>
      <c r="AR114" s="1494">
        <v>0</v>
      </c>
      <c r="AS114" s="1494">
        <v>0</v>
      </c>
    </row>
    <row r="115" s="1480" customFormat="1" spans="1:45">
      <c r="A115" s="1488"/>
      <c r="B115" s="1489" t="s">
        <v>323</v>
      </c>
      <c r="C115" s="1564">
        <v>0</v>
      </c>
      <c r="D115" s="1494"/>
      <c r="E115" s="1494"/>
      <c r="F115" s="1564"/>
      <c r="G115" s="1564"/>
      <c r="H115" s="1494"/>
      <c r="I115" s="1494">
        <v>0</v>
      </c>
      <c r="J115" s="1494">
        <v>0</v>
      </c>
      <c r="K115" s="1494">
        <v>0</v>
      </c>
      <c r="L115" s="1494">
        <v>0</v>
      </c>
      <c r="M115" s="1494">
        <v>0</v>
      </c>
      <c r="N115" s="1494">
        <v>0</v>
      </c>
      <c r="O115" s="1494">
        <v>0</v>
      </c>
      <c r="P115" s="1494">
        <v>0</v>
      </c>
      <c r="Q115" s="1494">
        <v>0</v>
      </c>
      <c r="R115" s="1494">
        <v>0</v>
      </c>
      <c r="S115" s="1494">
        <v>0</v>
      </c>
      <c r="T115" s="1494">
        <v>0</v>
      </c>
      <c r="U115" s="1494">
        <v>0</v>
      </c>
      <c r="V115" s="1494">
        <v>0</v>
      </c>
      <c r="W115" s="1494">
        <v>0</v>
      </c>
      <c r="X115" s="1494">
        <v>0</v>
      </c>
      <c r="Y115" s="1494">
        <v>0</v>
      </c>
      <c r="Z115" s="1494">
        <v>0</v>
      </c>
      <c r="AA115" s="1494">
        <v>0</v>
      </c>
      <c r="AB115" s="1494">
        <v>0</v>
      </c>
      <c r="AC115" s="1494">
        <v>0</v>
      </c>
      <c r="AD115" s="1494">
        <v>0</v>
      </c>
      <c r="AE115" s="1494">
        <v>0</v>
      </c>
      <c r="AF115" s="1494">
        <v>0</v>
      </c>
      <c r="AG115" s="1494">
        <v>0</v>
      </c>
      <c r="AH115" s="1494">
        <v>0</v>
      </c>
      <c r="AI115" s="1494">
        <v>0</v>
      </c>
      <c r="AJ115" s="1494">
        <v>0</v>
      </c>
      <c r="AK115" s="1494">
        <v>0</v>
      </c>
      <c r="AL115" s="1494">
        <v>0</v>
      </c>
      <c r="AM115" s="1494">
        <v>0</v>
      </c>
      <c r="AN115" s="1494">
        <v>0</v>
      </c>
      <c r="AO115" s="1494">
        <v>0</v>
      </c>
      <c r="AP115" s="1494">
        <v>0</v>
      </c>
      <c r="AQ115" s="1494">
        <v>0</v>
      </c>
      <c r="AR115" s="1494">
        <v>0</v>
      </c>
      <c r="AS115" s="1494">
        <v>0</v>
      </c>
    </row>
    <row r="116" spans="1:45">
      <c r="A116" s="1491"/>
      <c r="B116" s="1492" t="s">
        <v>324</v>
      </c>
      <c r="C116" s="1492">
        <v>0</v>
      </c>
      <c r="D116" s="1492">
        <v>0</v>
      </c>
      <c r="E116" s="1492">
        <v>0</v>
      </c>
      <c r="F116" s="1492">
        <v>0</v>
      </c>
      <c r="G116" s="1492">
        <v>0</v>
      </c>
      <c r="H116" s="1492">
        <v>0</v>
      </c>
      <c r="I116" s="1492">
        <v>0</v>
      </c>
      <c r="J116" s="1492">
        <v>0</v>
      </c>
      <c r="K116" s="1492">
        <v>0</v>
      </c>
      <c r="L116" s="1492">
        <v>0</v>
      </c>
      <c r="M116" s="1492">
        <v>0</v>
      </c>
      <c r="N116" s="1492">
        <v>0</v>
      </c>
      <c r="O116" s="1492">
        <v>0</v>
      </c>
      <c r="P116" s="1492">
        <v>0</v>
      </c>
      <c r="Q116" s="1492">
        <v>0</v>
      </c>
      <c r="R116" s="1492">
        <v>0</v>
      </c>
      <c r="S116" s="1492">
        <v>0</v>
      </c>
      <c r="T116" s="1492">
        <v>0</v>
      </c>
      <c r="U116" s="1492">
        <v>0</v>
      </c>
      <c r="V116" s="1492">
        <v>0</v>
      </c>
      <c r="W116" s="1492">
        <v>0</v>
      </c>
      <c r="X116" s="1492">
        <v>0</v>
      </c>
      <c r="Y116" s="1492">
        <v>0</v>
      </c>
      <c r="Z116" s="1492">
        <v>0</v>
      </c>
      <c r="AA116" s="1492">
        <v>0</v>
      </c>
      <c r="AB116" s="1492">
        <v>0</v>
      </c>
      <c r="AC116" s="1492">
        <v>0</v>
      </c>
      <c r="AD116" s="1492">
        <v>0</v>
      </c>
      <c r="AE116" s="1492">
        <v>0</v>
      </c>
      <c r="AF116" s="1492">
        <v>0</v>
      </c>
      <c r="AG116" s="1492">
        <v>0</v>
      </c>
      <c r="AH116" s="1492">
        <v>0</v>
      </c>
      <c r="AI116" s="1492">
        <v>0</v>
      </c>
      <c r="AJ116" s="1492">
        <v>0</v>
      </c>
      <c r="AK116" s="1492">
        <v>0</v>
      </c>
      <c r="AL116" s="1492">
        <v>0</v>
      </c>
      <c r="AM116" s="1492">
        <v>0</v>
      </c>
      <c r="AN116" s="1492">
        <v>0</v>
      </c>
      <c r="AO116" s="1492">
        <v>0</v>
      </c>
      <c r="AP116" s="1492">
        <v>0</v>
      </c>
      <c r="AQ116" s="1492">
        <v>0</v>
      </c>
      <c r="AR116" s="1492">
        <v>0</v>
      </c>
      <c r="AS116" s="1492">
        <v>0</v>
      </c>
    </row>
    <row r="117" s="1480" customFormat="1" spans="1:45">
      <c r="A117" s="1488" t="s">
        <v>199</v>
      </c>
      <c r="B117" s="1489" t="s">
        <v>234</v>
      </c>
      <c r="C117" s="1564">
        <v>0</v>
      </c>
      <c r="D117" s="1494">
        <v>0</v>
      </c>
      <c r="E117" s="1494">
        <v>0</v>
      </c>
      <c r="F117" s="1494">
        <v>0</v>
      </c>
      <c r="G117" s="1494">
        <v>0</v>
      </c>
      <c r="H117" s="1494">
        <v>0</v>
      </c>
      <c r="I117" s="1494">
        <v>0</v>
      </c>
      <c r="J117" s="1494">
        <v>0</v>
      </c>
      <c r="K117" s="1494">
        <v>0</v>
      </c>
      <c r="L117" s="1494">
        <v>0</v>
      </c>
      <c r="M117" s="1494">
        <v>0</v>
      </c>
      <c r="N117" s="1494">
        <v>0</v>
      </c>
      <c r="O117" s="1494">
        <v>0</v>
      </c>
      <c r="P117" s="1494">
        <v>0</v>
      </c>
      <c r="Q117" s="1494">
        <v>0</v>
      </c>
      <c r="R117" s="1494">
        <v>0</v>
      </c>
      <c r="S117" s="1494">
        <v>0</v>
      </c>
      <c r="T117" s="1565">
        <v>0</v>
      </c>
      <c r="U117" s="1565">
        <v>0</v>
      </c>
      <c r="V117" s="1565">
        <v>0</v>
      </c>
      <c r="W117" s="1565">
        <v>0</v>
      </c>
      <c r="X117" s="1565">
        <v>0</v>
      </c>
      <c r="Y117" s="1565">
        <v>0</v>
      </c>
      <c r="Z117" s="1565">
        <v>0</v>
      </c>
      <c r="AA117" s="1565">
        <v>0</v>
      </c>
      <c r="AB117" s="1565">
        <v>0</v>
      </c>
      <c r="AC117" s="1565">
        <v>0</v>
      </c>
      <c r="AD117" s="1565">
        <v>0</v>
      </c>
      <c r="AE117" s="1565">
        <v>0</v>
      </c>
      <c r="AF117" s="1565">
        <v>0</v>
      </c>
      <c r="AG117" s="1565">
        <v>0</v>
      </c>
      <c r="AH117" s="1565">
        <v>0</v>
      </c>
      <c r="AI117" s="1565">
        <v>0</v>
      </c>
      <c r="AJ117" s="1565">
        <v>0</v>
      </c>
      <c r="AK117" s="1565">
        <v>0</v>
      </c>
      <c r="AL117" s="1565">
        <v>0</v>
      </c>
      <c r="AM117" s="1565">
        <v>0</v>
      </c>
      <c r="AN117" s="1565">
        <v>0</v>
      </c>
      <c r="AO117" s="1565">
        <v>0</v>
      </c>
      <c r="AP117" s="1565">
        <v>0</v>
      </c>
      <c r="AQ117" s="1565">
        <v>0</v>
      </c>
      <c r="AR117" s="1565">
        <v>0</v>
      </c>
      <c r="AS117" s="1565">
        <v>0</v>
      </c>
    </row>
    <row r="118" s="1480" customFormat="1" spans="1:45">
      <c r="A118" s="1488">
        <v>0</v>
      </c>
      <c r="B118" s="1489" t="s">
        <v>323</v>
      </c>
      <c r="C118" s="1564">
        <v>0</v>
      </c>
      <c r="D118" s="1494">
        <v>0</v>
      </c>
      <c r="E118" s="1494">
        <v>0</v>
      </c>
      <c r="F118" s="1564">
        <v>0</v>
      </c>
      <c r="G118" s="1564">
        <v>0</v>
      </c>
      <c r="H118" s="1494">
        <v>0</v>
      </c>
      <c r="I118" s="1494">
        <v>0</v>
      </c>
      <c r="J118" s="1494">
        <v>0</v>
      </c>
      <c r="K118" s="1494">
        <v>0</v>
      </c>
      <c r="L118" s="1494">
        <v>0</v>
      </c>
      <c r="M118" s="1494">
        <v>0</v>
      </c>
      <c r="N118" s="1494">
        <v>0</v>
      </c>
      <c r="O118" s="1494">
        <v>0</v>
      </c>
      <c r="P118" s="1494">
        <v>0</v>
      </c>
      <c r="Q118" s="1494">
        <v>0</v>
      </c>
      <c r="R118" s="1494">
        <v>0</v>
      </c>
      <c r="S118" s="1494">
        <v>0</v>
      </c>
      <c r="T118" s="1494">
        <v>18018.018018018</v>
      </c>
      <c r="U118" s="1494">
        <v>18018.018018018</v>
      </c>
      <c r="V118" s="1494">
        <v>18018.018018018</v>
      </c>
      <c r="W118" s="1494">
        <v>18018.018018018</v>
      </c>
      <c r="X118" s="1494">
        <v>18018.018018018</v>
      </c>
      <c r="Y118" s="1494">
        <v>18018.018018018</v>
      </c>
      <c r="Z118" s="1494">
        <v>18018.018018018</v>
      </c>
      <c r="AA118" s="1494">
        <v>18018.018018018</v>
      </c>
      <c r="AB118" s="1494">
        <v>18018.018018018</v>
      </c>
      <c r="AC118" s="1494">
        <v>18018.018018018</v>
      </c>
      <c r="AD118" s="1494">
        <v>18018.018018018</v>
      </c>
      <c r="AE118" s="1494">
        <v>18018.018018018</v>
      </c>
      <c r="AF118" s="1494">
        <v>18018.018018018</v>
      </c>
      <c r="AG118" s="1494">
        <v>18018.018018018</v>
      </c>
      <c r="AH118" s="1494">
        <v>18018.018018018</v>
      </c>
      <c r="AI118" s="1494">
        <v>18018.018018018</v>
      </c>
      <c r="AJ118" s="1494">
        <v>18018.018018018</v>
      </c>
      <c r="AK118" s="1494">
        <v>18018.018018018</v>
      </c>
      <c r="AL118" s="1494">
        <v>18018.018018018</v>
      </c>
      <c r="AM118" s="1494">
        <v>18018.018018018</v>
      </c>
      <c r="AN118" s="1494">
        <v>18018.018018018</v>
      </c>
      <c r="AO118" s="1494">
        <v>18018.018018018</v>
      </c>
      <c r="AP118" s="1494">
        <v>18018.018018018</v>
      </c>
      <c r="AQ118" s="1494">
        <v>0</v>
      </c>
      <c r="AR118" s="1494">
        <v>0</v>
      </c>
      <c r="AS118" s="1494">
        <v>0</v>
      </c>
    </row>
    <row r="119" spans="1:45">
      <c r="A119" s="1491">
        <v>0</v>
      </c>
      <c r="B119" s="1492" t="s">
        <v>324</v>
      </c>
      <c r="C119" s="1492">
        <v>0</v>
      </c>
      <c r="D119" s="1492">
        <v>0</v>
      </c>
      <c r="E119" s="1492">
        <v>0</v>
      </c>
      <c r="F119" s="1492">
        <v>0</v>
      </c>
      <c r="G119" s="1492">
        <v>0</v>
      </c>
      <c r="H119" s="1492">
        <v>0</v>
      </c>
      <c r="I119" s="1492">
        <v>0</v>
      </c>
      <c r="J119" s="1492">
        <v>0</v>
      </c>
      <c r="K119" s="1492">
        <v>0</v>
      </c>
      <c r="L119" s="1492">
        <v>0</v>
      </c>
      <c r="M119" s="1492">
        <v>0</v>
      </c>
      <c r="N119" s="1492">
        <v>0</v>
      </c>
      <c r="O119" s="1492">
        <v>0</v>
      </c>
      <c r="P119" s="1492">
        <v>0</v>
      </c>
      <c r="Q119" s="1492">
        <v>0</v>
      </c>
      <c r="R119" s="1492">
        <v>0</v>
      </c>
      <c r="S119" s="1492">
        <v>0</v>
      </c>
      <c r="T119" s="1492">
        <v>0</v>
      </c>
      <c r="U119" s="1492">
        <v>0</v>
      </c>
      <c r="V119" s="1492">
        <v>0</v>
      </c>
      <c r="W119" s="1492">
        <v>0</v>
      </c>
      <c r="X119" s="1492">
        <v>0</v>
      </c>
      <c r="Y119" s="1492">
        <v>0</v>
      </c>
      <c r="Z119" s="1492">
        <v>0</v>
      </c>
      <c r="AA119" s="1492">
        <v>0</v>
      </c>
      <c r="AB119" s="1492">
        <v>0</v>
      </c>
      <c r="AC119" s="1492">
        <v>0</v>
      </c>
      <c r="AD119" s="1492">
        <v>0</v>
      </c>
      <c r="AE119" s="1492">
        <v>0</v>
      </c>
      <c r="AF119" s="1492">
        <v>0</v>
      </c>
      <c r="AG119" s="1492">
        <v>0</v>
      </c>
      <c r="AH119" s="1492">
        <v>0</v>
      </c>
      <c r="AI119" s="1492">
        <v>0</v>
      </c>
      <c r="AJ119" s="1492">
        <v>0</v>
      </c>
      <c r="AK119" s="1492">
        <v>0</v>
      </c>
      <c r="AL119" s="1492">
        <v>0</v>
      </c>
      <c r="AM119" s="1492">
        <v>0</v>
      </c>
      <c r="AN119" s="1492">
        <v>0</v>
      </c>
      <c r="AO119" s="1492">
        <v>0</v>
      </c>
      <c r="AP119" s="1492">
        <v>0</v>
      </c>
      <c r="AQ119" s="1492">
        <v>0</v>
      </c>
      <c r="AR119" s="1492">
        <v>0</v>
      </c>
      <c r="AS119" s="1492">
        <v>0</v>
      </c>
    </row>
  </sheetData>
  <pageMargins left="0.75" right="0.75" top="1" bottom="1" header="0.5" footer="0.5"/>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4" tint="0.399975585192419"/>
  </sheetPr>
  <dimension ref="A1:AT39"/>
  <sheetViews>
    <sheetView workbookViewId="0">
      <pane xSplit="2" ySplit="2" topLeftCell="AH9" activePane="bottomRight" state="frozen"/>
      <selection/>
      <selection pane="topRight"/>
      <selection pane="bottomLeft"/>
      <selection pane="bottomRight" activeCell="A1" sqref="A1:A2"/>
    </sheetView>
  </sheetViews>
  <sheetFormatPr defaultColWidth="9" defaultRowHeight="12"/>
  <cols>
    <col min="1" max="1" width="23.4" style="1481" customWidth="1"/>
    <col min="2" max="2" width="11.5" style="1481" customWidth="1"/>
    <col min="3" max="9" width="11.5" style="1481" hidden="1" customWidth="1"/>
    <col min="10" max="28" width="11.5" style="1481" customWidth="1"/>
    <col min="29" max="29" width="10.6" style="1481" customWidth="1"/>
    <col min="30" max="46" width="11.5" style="1481" customWidth="1"/>
    <col min="47" max="249" width="9" style="1481"/>
    <col min="250" max="250" width="15.1" style="1481" customWidth="1"/>
    <col min="251" max="300" width="11.5" style="1481" customWidth="1"/>
    <col min="301" max="505" width="9" style="1481"/>
    <col min="506" max="506" width="15.1" style="1481" customWidth="1"/>
    <col min="507" max="556" width="11.5" style="1481" customWidth="1"/>
    <col min="557" max="761" width="9" style="1481"/>
    <col min="762" max="762" width="15.1" style="1481" customWidth="1"/>
    <col min="763" max="812" width="11.5" style="1481" customWidth="1"/>
    <col min="813" max="1017" width="9" style="1481"/>
    <col min="1018" max="1018" width="15.1" style="1481" customWidth="1"/>
    <col min="1019" max="1068" width="11.5" style="1481" customWidth="1"/>
    <col min="1069" max="1273" width="9" style="1481"/>
    <col min="1274" max="1274" width="15.1" style="1481" customWidth="1"/>
    <col min="1275" max="1324" width="11.5" style="1481" customWidth="1"/>
    <col min="1325" max="1529" width="9" style="1481"/>
    <col min="1530" max="1530" width="15.1" style="1481" customWidth="1"/>
    <col min="1531" max="1580" width="11.5" style="1481" customWidth="1"/>
    <col min="1581" max="1785" width="9" style="1481"/>
    <col min="1786" max="1786" width="15.1" style="1481" customWidth="1"/>
    <col min="1787" max="1836" width="11.5" style="1481" customWidth="1"/>
    <col min="1837" max="2041" width="9" style="1481"/>
    <col min="2042" max="2042" width="15.1" style="1481" customWidth="1"/>
    <col min="2043" max="2092" width="11.5" style="1481" customWidth="1"/>
    <col min="2093" max="2297" width="9" style="1481"/>
    <col min="2298" max="2298" width="15.1" style="1481" customWidth="1"/>
    <col min="2299" max="2348" width="11.5" style="1481" customWidth="1"/>
    <col min="2349" max="2553" width="9" style="1481"/>
    <col min="2554" max="2554" width="15.1" style="1481" customWidth="1"/>
    <col min="2555" max="2604" width="11.5" style="1481" customWidth="1"/>
    <col min="2605" max="2809" width="9" style="1481"/>
    <col min="2810" max="2810" width="15.1" style="1481" customWidth="1"/>
    <col min="2811" max="2860" width="11.5" style="1481" customWidth="1"/>
    <col min="2861" max="3065" width="9" style="1481"/>
    <col min="3066" max="3066" width="15.1" style="1481" customWidth="1"/>
    <col min="3067" max="3116" width="11.5" style="1481" customWidth="1"/>
    <col min="3117" max="3321" width="9" style="1481"/>
    <col min="3322" max="3322" width="15.1" style="1481" customWidth="1"/>
    <col min="3323" max="3372" width="11.5" style="1481" customWidth="1"/>
    <col min="3373" max="3577" width="9" style="1481"/>
    <col min="3578" max="3578" width="15.1" style="1481" customWidth="1"/>
    <col min="3579" max="3628" width="11.5" style="1481" customWidth="1"/>
    <col min="3629" max="3833" width="9" style="1481"/>
    <col min="3834" max="3834" width="15.1" style="1481" customWidth="1"/>
    <col min="3835" max="3884" width="11.5" style="1481" customWidth="1"/>
    <col min="3885" max="4089" width="9" style="1481"/>
    <col min="4090" max="4090" width="15.1" style="1481" customWidth="1"/>
    <col min="4091" max="4140" width="11.5" style="1481" customWidth="1"/>
    <col min="4141" max="4345" width="9" style="1481"/>
    <col min="4346" max="4346" width="15.1" style="1481" customWidth="1"/>
    <col min="4347" max="4396" width="11.5" style="1481" customWidth="1"/>
    <col min="4397" max="4601" width="9" style="1481"/>
    <col min="4602" max="4602" width="15.1" style="1481" customWidth="1"/>
    <col min="4603" max="4652" width="11.5" style="1481" customWidth="1"/>
    <col min="4653" max="4857" width="9" style="1481"/>
    <col min="4858" max="4858" width="15.1" style="1481" customWidth="1"/>
    <col min="4859" max="4908" width="11.5" style="1481" customWidth="1"/>
    <col min="4909" max="5113" width="9" style="1481"/>
    <col min="5114" max="5114" width="15.1" style="1481" customWidth="1"/>
    <col min="5115" max="5164" width="11.5" style="1481" customWidth="1"/>
    <col min="5165" max="5369" width="9" style="1481"/>
    <col min="5370" max="5370" width="15.1" style="1481" customWidth="1"/>
    <col min="5371" max="5420" width="11.5" style="1481" customWidth="1"/>
    <col min="5421" max="5625" width="9" style="1481"/>
    <col min="5626" max="5626" width="15.1" style="1481" customWidth="1"/>
    <col min="5627" max="5676" width="11.5" style="1481" customWidth="1"/>
    <col min="5677" max="5881" width="9" style="1481"/>
    <col min="5882" max="5882" width="15.1" style="1481" customWidth="1"/>
    <col min="5883" max="5932" width="11.5" style="1481" customWidth="1"/>
    <col min="5933" max="6137" width="9" style="1481"/>
    <col min="6138" max="6138" width="15.1" style="1481" customWidth="1"/>
    <col min="6139" max="6188" width="11.5" style="1481" customWidth="1"/>
    <col min="6189" max="6393" width="9" style="1481"/>
    <col min="6394" max="6394" width="15.1" style="1481" customWidth="1"/>
    <col min="6395" max="6444" width="11.5" style="1481" customWidth="1"/>
    <col min="6445" max="6649" width="9" style="1481"/>
    <col min="6650" max="6650" width="15.1" style="1481" customWidth="1"/>
    <col min="6651" max="6700" width="11.5" style="1481" customWidth="1"/>
    <col min="6701" max="6905" width="9" style="1481"/>
    <col min="6906" max="6906" width="15.1" style="1481" customWidth="1"/>
    <col min="6907" max="6956" width="11.5" style="1481" customWidth="1"/>
    <col min="6957" max="7161" width="9" style="1481"/>
    <col min="7162" max="7162" width="15.1" style="1481" customWidth="1"/>
    <col min="7163" max="7212" width="11.5" style="1481" customWidth="1"/>
    <col min="7213" max="7417" width="9" style="1481"/>
    <col min="7418" max="7418" width="15.1" style="1481" customWidth="1"/>
    <col min="7419" max="7468" width="11.5" style="1481" customWidth="1"/>
    <col min="7469" max="7673" width="9" style="1481"/>
    <col min="7674" max="7674" width="15.1" style="1481" customWidth="1"/>
    <col min="7675" max="7724" width="11.5" style="1481" customWidth="1"/>
    <col min="7725" max="7929" width="9" style="1481"/>
    <col min="7930" max="7930" width="15.1" style="1481" customWidth="1"/>
    <col min="7931" max="7980" width="11.5" style="1481" customWidth="1"/>
    <col min="7981" max="8185" width="9" style="1481"/>
    <col min="8186" max="8186" width="15.1" style="1481" customWidth="1"/>
    <col min="8187" max="8236" width="11.5" style="1481" customWidth="1"/>
    <col min="8237" max="8441" width="9" style="1481"/>
    <col min="8442" max="8442" width="15.1" style="1481" customWidth="1"/>
    <col min="8443" max="8492" width="11.5" style="1481" customWidth="1"/>
    <col min="8493" max="8697" width="9" style="1481"/>
    <col min="8698" max="8698" width="15.1" style="1481" customWidth="1"/>
    <col min="8699" max="8748" width="11.5" style="1481" customWidth="1"/>
    <col min="8749" max="8953" width="9" style="1481"/>
    <col min="8954" max="8954" width="15.1" style="1481" customWidth="1"/>
    <col min="8955" max="9004" width="11.5" style="1481" customWidth="1"/>
    <col min="9005" max="9209" width="9" style="1481"/>
    <col min="9210" max="9210" width="15.1" style="1481" customWidth="1"/>
    <col min="9211" max="9260" width="11.5" style="1481" customWidth="1"/>
    <col min="9261" max="9465" width="9" style="1481"/>
    <col min="9466" max="9466" width="15.1" style="1481" customWidth="1"/>
    <col min="9467" max="9516" width="11.5" style="1481" customWidth="1"/>
    <col min="9517" max="9721" width="9" style="1481"/>
    <col min="9722" max="9722" width="15.1" style="1481" customWidth="1"/>
    <col min="9723" max="9772" width="11.5" style="1481" customWidth="1"/>
    <col min="9773" max="9977" width="9" style="1481"/>
    <col min="9978" max="9978" width="15.1" style="1481" customWidth="1"/>
    <col min="9979" max="10028" width="11.5" style="1481" customWidth="1"/>
    <col min="10029" max="10233" width="9" style="1481"/>
    <col min="10234" max="10234" width="15.1" style="1481" customWidth="1"/>
    <col min="10235" max="10284" width="11.5" style="1481" customWidth="1"/>
    <col min="10285" max="10489" width="9" style="1481"/>
    <col min="10490" max="10490" width="15.1" style="1481" customWidth="1"/>
    <col min="10491" max="10540" width="11.5" style="1481" customWidth="1"/>
    <col min="10541" max="10745" width="9" style="1481"/>
    <col min="10746" max="10746" width="15.1" style="1481" customWidth="1"/>
    <col min="10747" max="10796" width="11.5" style="1481" customWidth="1"/>
    <col min="10797" max="11001" width="9" style="1481"/>
    <col min="11002" max="11002" width="15.1" style="1481" customWidth="1"/>
    <col min="11003" max="11052" width="11.5" style="1481" customWidth="1"/>
    <col min="11053" max="11257" width="9" style="1481"/>
    <col min="11258" max="11258" width="15.1" style="1481" customWidth="1"/>
    <col min="11259" max="11308" width="11.5" style="1481" customWidth="1"/>
    <col min="11309" max="11513" width="9" style="1481"/>
    <col min="11514" max="11514" width="15.1" style="1481" customWidth="1"/>
    <col min="11515" max="11564" width="11.5" style="1481" customWidth="1"/>
    <col min="11565" max="11769" width="9" style="1481"/>
    <col min="11770" max="11770" width="15.1" style="1481" customWidth="1"/>
    <col min="11771" max="11820" width="11.5" style="1481" customWidth="1"/>
    <col min="11821" max="12025" width="9" style="1481"/>
    <col min="12026" max="12026" width="15.1" style="1481" customWidth="1"/>
    <col min="12027" max="12076" width="11.5" style="1481" customWidth="1"/>
    <col min="12077" max="12281" width="9" style="1481"/>
    <col min="12282" max="12282" width="15.1" style="1481" customWidth="1"/>
    <col min="12283" max="12332" width="11.5" style="1481" customWidth="1"/>
    <col min="12333" max="12537" width="9" style="1481"/>
    <col min="12538" max="12538" width="15.1" style="1481" customWidth="1"/>
    <col min="12539" max="12588" width="11.5" style="1481" customWidth="1"/>
    <col min="12589" max="12793" width="9" style="1481"/>
    <col min="12794" max="12794" width="15.1" style="1481" customWidth="1"/>
    <col min="12795" max="12844" width="11.5" style="1481" customWidth="1"/>
    <col min="12845" max="13049" width="9" style="1481"/>
    <col min="13050" max="13050" width="15.1" style="1481" customWidth="1"/>
    <col min="13051" max="13100" width="11.5" style="1481" customWidth="1"/>
    <col min="13101" max="13305" width="9" style="1481"/>
    <col min="13306" max="13306" width="15.1" style="1481" customWidth="1"/>
    <col min="13307" max="13356" width="11.5" style="1481" customWidth="1"/>
    <col min="13357" max="13561" width="9" style="1481"/>
    <col min="13562" max="13562" width="15.1" style="1481" customWidth="1"/>
    <col min="13563" max="13612" width="11.5" style="1481" customWidth="1"/>
    <col min="13613" max="13817" width="9" style="1481"/>
    <col min="13818" max="13818" width="15.1" style="1481" customWidth="1"/>
    <col min="13819" max="13868" width="11.5" style="1481" customWidth="1"/>
    <col min="13869" max="14073" width="9" style="1481"/>
    <col min="14074" max="14074" width="15.1" style="1481" customWidth="1"/>
    <col min="14075" max="14124" width="11.5" style="1481" customWidth="1"/>
    <col min="14125" max="14329" width="9" style="1481"/>
    <col min="14330" max="14330" width="15.1" style="1481" customWidth="1"/>
    <col min="14331" max="14380" width="11.5" style="1481" customWidth="1"/>
    <col min="14381" max="14585" width="9" style="1481"/>
    <col min="14586" max="14586" width="15.1" style="1481" customWidth="1"/>
    <col min="14587" max="14636" width="11.5" style="1481" customWidth="1"/>
    <col min="14637" max="14841" width="9" style="1481"/>
    <col min="14842" max="14842" width="15.1" style="1481" customWidth="1"/>
    <col min="14843" max="14892" width="11.5" style="1481" customWidth="1"/>
    <col min="14893" max="15097" width="9" style="1481"/>
    <col min="15098" max="15098" width="15.1" style="1481" customWidth="1"/>
    <col min="15099" max="15148" width="11.5" style="1481" customWidth="1"/>
    <col min="15149" max="15353" width="9" style="1481"/>
    <col min="15354" max="15354" width="15.1" style="1481" customWidth="1"/>
    <col min="15355" max="15404" width="11.5" style="1481" customWidth="1"/>
    <col min="15405" max="15609" width="9" style="1481"/>
    <col min="15610" max="15610" width="15.1" style="1481" customWidth="1"/>
    <col min="15611" max="15660" width="11.5" style="1481" customWidth="1"/>
    <col min="15661" max="15865" width="9" style="1481"/>
    <col min="15866" max="15866" width="15.1" style="1481" customWidth="1"/>
    <col min="15867" max="15916" width="11.5" style="1481" customWidth="1"/>
    <col min="15917" max="16121" width="9" style="1481"/>
    <col min="16122" max="16122" width="15.1" style="1481" customWidth="1"/>
    <col min="16123" max="16172" width="11.5" style="1481" customWidth="1"/>
    <col min="16173" max="16384" width="9" style="1481"/>
  </cols>
  <sheetData>
    <row r="1" ht="15.75" customHeight="1" spans="1:44">
      <c r="A1" s="1540" t="s">
        <v>244</v>
      </c>
      <c r="B1" s="1540" t="s">
        <v>2</v>
      </c>
      <c r="C1" s="1451" t="s">
        <v>290</v>
      </c>
      <c r="D1" s="1451" t="s">
        <v>290</v>
      </c>
      <c r="E1" s="1451" t="s">
        <v>291</v>
      </c>
      <c r="F1" s="1451" t="s">
        <v>291</v>
      </c>
      <c r="G1" s="1451" t="s">
        <v>291</v>
      </c>
      <c r="H1" s="1451" t="s">
        <v>291</v>
      </c>
      <c r="I1" s="1451" t="s">
        <v>292</v>
      </c>
      <c r="J1" s="1451" t="s">
        <v>292</v>
      </c>
      <c r="K1" s="1451" t="s">
        <v>292</v>
      </c>
      <c r="L1" s="1451" t="s">
        <v>292</v>
      </c>
      <c r="M1" s="1451" t="s">
        <v>293</v>
      </c>
      <c r="N1" s="1451" t="s">
        <v>293</v>
      </c>
      <c r="O1" s="1451" t="s">
        <v>293</v>
      </c>
      <c r="P1" s="1451" t="s">
        <v>293</v>
      </c>
      <c r="Q1" s="1451" t="s">
        <v>294</v>
      </c>
      <c r="R1" s="1451" t="s">
        <v>294</v>
      </c>
      <c r="S1" s="1451" t="s">
        <v>294</v>
      </c>
      <c r="T1" s="1451" t="s">
        <v>294</v>
      </c>
      <c r="U1" s="1451" t="s">
        <v>295</v>
      </c>
      <c r="V1" s="1451" t="s">
        <v>295</v>
      </c>
      <c r="W1" s="1451" t="s">
        <v>295</v>
      </c>
      <c r="X1" s="1451" t="s">
        <v>295</v>
      </c>
      <c r="Y1" s="1451" t="s">
        <v>296</v>
      </c>
      <c r="Z1" s="1451" t="s">
        <v>296</v>
      </c>
      <c r="AA1" s="1451" t="s">
        <v>296</v>
      </c>
      <c r="AB1" s="1451" t="s">
        <v>296</v>
      </c>
      <c r="AC1" s="1451" t="s">
        <v>297</v>
      </c>
      <c r="AD1" s="1451" t="s">
        <v>297</v>
      </c>
      <c r="AE1" s="1451" t="s">
        <v>297</v>
      </c>
      <c r="AF1" s="1451" t="s">
        <v>297</v>
      </c>
      <c r="AG1" s="1451" t="s">
        <v>298</v>
      </c>
      <c r="AH1" s="1451" t="s">
        <v>298</v>
      </c>
      <c r="AI1" s="1451" t="s">
        <v>298</v>
      </c>
      <c r="AJ1" s="1451" t="s">
        <v>298</v>
      </c>
      <c r="AK1" s="1451" t="s">
        <v>299</v>
      </c>
      <c r="AL1" s="1451" t="s">
        <v>299</v>
      </c>
      <c r="AM1" s="1451" t="s">
        <v>299</v>
      </c>
      <c r="AN1" s="1451" t="s">
        <v>299</v>
      </c>
      <c r="AO1" s="1451" t="s">
        <v>300</v>
      </c>
      <c r="AP1" s="1451" t="s">
        <v>300</v>
      </c>
      <c r="AQ1" s="1451" t="s">
        <v>300</v>
      </c>
      <c r="AR1" s="1451" t="s">
        <v>300</v>
      </c>
    </row>
    <row r="2" s="1537" customFormat="1" ht="12.75" spans="1:44">
      <c r="A2" s="1541"/>
      <c r="B2" s="1541"/>
      <c r="C2" s="1454" t="s">
        <v>119</v>
      </c>
      <c r="D2" s="1454" t="s">
        <v>120</v>
      </c>
      <c r="E2" s="1454" t="s">
        <v>121</v>
      </c>
      <c r="F2" s="1454" t="s">
        <v>122</v>
      </c>
      <c r="G2" s="1454" t="s">
        <v>123</v>
      </c>
      <c r="H2" s="1454" t="s">
        <v>124</v>
      </c>
      <c r="I2" s="1454" t="s">
        <v>125</v>
      </c>
      <c r="J2" s="1454" t="s">
        <v>126</v>
      </c>
      <c r="K2" s="1454" t="s">
        <v>127</v>
      </c>
      <c r="L2" s="1454" t="s">
        <v>128</v>
      </c>
      <c r="M2" s="1454" t="s">
        <v>129</v>
      </c>
      <c r="N2" s="1454" t="s">
        <v>130</v>
      </c>
      <c r="O2" s="1454" t="s">
        <v>131</v>
      </c>
      <c r="P2" s="1454" t="s">
        <v>132</v>
      </c>
      <c r="Q2" s="1454" t="s">
        <v>133</v>
      </c>
      <c r="R2" s="1454" t="s">
        <v>134</v>
      </c>
      <c r="S2" s="1454" t="s">
        <v>135</v>
      </c>
      <c r="T2" s="1454" t="s">
        <v>136</v>
      </c>
      <c r="U2" s="1454" t="s">
        <v>137</v>
      </c>
      <c r="V2" s="1454" t="s">
        <v>138</v>
      </c>
      <c r="W2" s="1454" t="s">
        <v>302</v>
      </c>
      <c r="X2" s="1454" t="s">
        <v>303</v>
      </c>
      <c r="Y2" s="1454" t="s">
        <v>271</v>
      </c>
      <c r="Z2" s="1454" t="s">
        <v>264</v>
      </c>
      <c r="AA2" s="1454" t="s">
        <v>304</v>
      </c>
      <c r="AB2" s="1454" t="s">
        <v>305</v>
      </c>
      <c r="AC2" s="1454" t="s">
        <v>306</v>
      </c>
      <c r="AD2" s="1454" t="s">
        <v>307</v>
      </c>
      <c r="AE2" s="1454" t="s">
        <v>308</v>
      </c>
      <c r="AF2" s="1454" t="s">
        <v>309</v>
      </c>
      <c r="AG2" s="1454" t="s">
        <v>310</v>
      </c>
      <c r="AH2" s="1454" t="s">
        <v>311</v>
      </c>
      <c r="AI2" s="1454" t="s">
        <v>312</v>
      </c>
      <c r="AJ2" s="1454" t="s">
        <v>313</v>
      </c>
      <c r="AK2" s="1454" t="s">
        <v>314</v>
      </c>
      <c r="AL2" s="1454" t="s">
        <v>315</v>
      </c>
      <c r="AM2" s="1454" t="s">
        <v>316</v>
      </c>
      <c r="AN2" s="1454" t="s">
        <v>317</v>
      </c>
      <c r="AO2" s="1454" t="s">
        <v>318</v>
      </c>
      <c r="AP2" s="1454" t="s">
        <v>319</v>
      </c>
      <c r="AQ2" s="1454" t="s">
        <v>320</v>
      </c>
      <c r="AR2" s="1454" t="s">
        <v>321</v>
      </c>
    </row>
    <row r="3" spans="1:44">
      <c r="A3" s="1542" t="s">
        <v>330</v>
      </c>
      <c r="B3" s="1543">
        <v>231211.303148186</v>
      </c>
      <c r="C3" s="1543">
        <v>0</v>
      </c>
      <c r="D3" s="1543">
        <v>0</v>
      </c>
      <c r="E3" s="1543">
        <v>0</v>
      </c>
      <c r="F3" s="1543">
        <v>0</v>
      </c>
      <c r="G3" s="1543">
        <v>0</v>
      </c>
      <c r="H3" s="1543">
        <v>0</v>
      </c>
      <c r="I3" s="1543">
        <v>0</v>
      </c>
      <c r="J3" s="1543">
        <v>0</v>
      </c>
      <c r="K3" s="1543">
        <v>0</v>
      </c>
      <c r="L3" s="1543">
        <v>0</v>
      </c>
      <c r="M3" s="1543">
        <v>0</v>
      </c>
      <c r="N3" s="1543">
        <v>0</v>
      </c>
      <c r="O3" s="1543">
        <v>0</v>
      </c>
      <c r="P3" s="1543">
        <v>26443.3047854151</v>
      </c>
      <c r="Q3" s="1543">
        <v>26443.3047854151</v>
      </c>
      <c r="R3" s="1543">
        <v>26443.3047854151</v>
      </c>
      <c r="S3" s="1543">
        <v>26443.3047854151</v>
      </c>
      <c r="T3" s="1543">
        <v>26443.3047854151</v>
      </c>
      <c r="U3" s="1543">
        <v>26443.3047854151</v>
      </c>
      <c r="V3" s="1543">
        <v>26443.3047854151</v>
      </c>
      <c r="W3" s="1543">
        <v>46108.16965028</v>
      </c>
      <c r="X3" s="1543">
        <v>0</v>
      </c>
      <c r="Y3" s="1543">
        <v>0</v>
      </c>
      <c r="Z3" s="1543">
        <v>0</v>
      </c>
      <c r="AA3" s="1543">
        <v>0</v>
      </c>
      <c r="AB3" s="1543">
        <v>0</v>
      </c>
      <c r="AC3" s="1543">
        <v>0</v>
      </c>
      <c r="AD3" s="1543">
        <v>0</v>
      </c>
      <c r="AE3" s="1543">
        <v>0</v>
      </c>
      <c r="AF3" s="1543">
        <v>0</v>
      </c>
      <c r="AG3" s="1543">
        <v>0</v>
      </c>
      <c r="AH3" s="1543">
        <v>0</v>
      </c>
      <c r="AI3" s="1543">
        <v>0</v>
      </c>
      <c r="AJ3" s="1543">
        <v>0</v>
      </c>
      <c r="AK3" s="1543">
        <v>0</v>
      </c>
      <c r="AL3" s="1543">
        <v>0</v>
      </c>
      <c r="AM3" s="1543">
        <v>0</v>
      </c>
      <c r="AN3" s="1543">
        <v>0</v>
      </c>
      <c r="AO3" s="1543">
        <v>0</v>
      </c>
      <c r="AP3" s="1543">
        <v>0</v>
      </c>
      <c r="AQ3" s="1543">
        <v>0</v>
      </c>
      <c r="AR3" s="1543">
        <v>0</v>
      </c>
    </row>
    <row r="4" spans="1:44">
      <c r="A4" s="1544" t="s">
        <v>331</v>
      </c>
      <c r="B4" s="1492">
        <v>256644.546494486</v>
      </c>
      <c r="C4" s="1492"/>
      <c r="D4" s="1492">
        <v>0</v>
      </c>
      <c r="E4" s="1492">
        <v>0</v>
      </c>
      <c r="F4" s="1492">
        <v>0</v>
      </c>
      <c r="G4" s="1492">
        <v>0</v>
      </c>
      <c r="H4" s="1492">
        <v>0</v>
      </c>
      <c r="I4" s="1492">
        <v>0</v>
      </c>
      <c r="J4" s="1492">
        <v>0</v>
      </c>
      <c r="K4" s="1492">
        <v>0</v>
      </c>
      <c r="L4" s="1492">
        <v>0</v>
      </c>
      <c r="M4" s="1492">
        <v>0</v>
      </c>
      <c r="N4" s="1492">
        <v>0</v>
      </c>
      <c r="O4" s="1492">
        <v>0</v>
      </c>
      <c r="P4" s="1492">
        <v>23481.6546494486</v>
      </c>
      <c r="Q4" s="1492">
        <v>29352.0683118108</v>
      </c>
      <c r="R4" s="1492">
        <v>29352.0683118108</v>
      </c>
      <c r="S4" s="1492">
        <v>29352.0683118108</v>
      </c>
      <c r="T4" s="1492">
        <v>29352.0683118108</v>
      </c>
      <c r="U4" s="1492">
        <v>29352.0683118108</v>
      </c>
      <c r="V4" s="1492">
        <v>29352.0683118108</v>
      </c>
      <c r="W4" s="1492">
        <v>46814.4683118108</v>
      </c>
      <c r="X4" s="1492">
        <v>10236.0136623622</v>
      </c>
      <c r="Y4" s="1492">
        <v>0</v>
      </c>
      <c r="Z4" s="1492">
        <v>0</v>
      </c>
      <c r="AA4" s="1492">
        <v>0</v>
      </c>
      <c r="AB4" s="1492">
        <v>0</v>
      </c>
      <c r="AC4" s="1492">
        <v>0</v>
      </c>
      <c r="AD4" s="1492">
        <v>0</v>
      </c>
      <c r="AE4" s="1492">
        <v>0</v>
      </c>
      <c r="AF4" s="1492">
        <v>0</v>
      </c>
      <c r="AG4" s="1492">
        <v>0</v>
      </c>
      <c r="AH4" s="1492">
        <v>0</v>
      </c>
      <c r="AI4" s="1492">
        <v>0</v>
      </c>
      <c r="AJ4" s="1492">
        <v>0</v>
      </c>
      <c r="AK4" s="1492">
        <v>0</v>
      </c>
      <c r="AL4" s="1492">
        <v>0</v>
      </c>
      <c r="AM4" s="1492">
        <v>0</v>
      </c>
      <c r="AN4" s="1492">
        <v>0</v>
      </c>
      <c r="AO4" s="1492">
        <v>0</v>
      </c>
      <c r="AP4" s="1492">
        <v>0</v>
      </c>
      <c r="AQ4" s="1492">
        <v>0</v>
      </c>
      <c r="AR4" s="1492">
        <v>0</v>
      </c>
    </row>
    <row r="5" spans="1:44">
      <c r="A5" s="1491" t="s">
        <v>332</v>
      </c>
      <c r="B5" s="1491">
        <v>216348.805122758</v>
      </c>
      <c r="C5" s="1491">
        <v>0</v>
      </c>
      <c r="D5" s="1491">
        <v>0</v>
      </c>
      <c r="E5" s="1491">
        <v>0</v>
      </c>
      <c r="F5" s="1491">
        <v>0</v>
      </c>
      <c r="G5" s="1491">
        <v>0</v>
      </c>
      <c r="H5" s="1491">
        <v>0</v>
      </c>
      <c r="I5" s="1491">
        <v>0</v>
      </c>
      <c r="J5" s="1491">
        <v>0</v>
      </c>
      <c r="K5" s="1491">
        <v>0</v>
      </c>
      <c r="L5" s="1491">
        <v>45472.5766551814</v>
      </c>
      <c r="M5" s="1491">
        <v>1969.63791232428</v>
      </c>
      <c r="N5" s="1491">
        <v>3438.00036043485</v>
      </c>
      <c r="O5" s="1491">
        <v>5914.26412898026</v>
      </c>
      <c r="P5" s="1491">
        <v>9297.86726204831</v>
      </c>
      <c r="Q5" s="1491">
        <v>13151.2476609711</v>
      </c>
      <c r="R5" s="1491">
        <v>17875.9350730704</v>
      </c>
      <c r="S5" s="1491">
        <v>18165.6892936088</v>
      </c>
      <c r="T5" s="1491">
        <v>16877.7474438799</v>
      </c>
      <c r="U5" s="1491">
        <v>17259.0311252925</v>
      </c>
      <c r="V5" s="1491">
        <v>13468.3899131494</v>
      </c>
      <c r="W5" s="1491">
        <v>14287.8639032318</v>
      </c>
      <c r="X5" s="1491">
        <v>7725.1903126107</v>
      </c>
      <c r="Y5" s="1491">
        <v>9626.41686775013</v>
      </c>
      <c r="Z5" s="1491">
        <v>8917.29404078862</v>
      </c>
      <c r="AA5" s="1491">
        <v>3089.80118283504</v>
      </c>
      <c r="AB5" s="1491">
        <v>879.203145738899</v>
      </c>
      <c r="AC5" s="1491">
        <v>8932.64884086166</v>
      </c>
      <c r="AD5" s="1491">
        <v>0</v>
      </c>
      <c r="AE5" s="1491">
        <v>0</v>
      </c>
      <c r="AF5" s="1491">
        <v>0</v>
      </c>
      <c r="AG5" s="1491">
        <v>0</v>
      </c>
      <c r="AH5" s="1491">
        <v>0</v>
      </c>
      <c r="AI5" s="1491">
        <v>0</v>
      </c>
      <c r="AJ5" s="1491">
        <v>0</v>
      </c>
      <c r="AK5" s="1491">
        <v>0</v>
      </c>
      <c r="AL5" s="1491">
        <v>0</v>
      </c>
      <c r="AM5" s="1491">
        <v>0</v>
      </c>
      <c r="AN5" s="1491">
        <v>0</v>
      </c>
      <c r="AO5" s="1491">
        <v>0</v>
      </c>
      <c r="AP5" s="1491">
        <v>0</v>
      </c>
      <c r="AQ5" s="1491">
        <v>0</v>
      </c>
      <c r="AR5" s="1491">
        <v>0</v>
      </c>
    </row>
    <row r="6" ht="12.75" outlineLevel="1" spans="1:44">
      <c r="A6" s="1545" t="s">
        <v>333</v>
      </c>
      <c r="B6" s="1485">
        <v>51381.4903921542</v>
      </c>
      <c r="C6" s="1485">
        <v>0</v>
      </c>
      <c r="D6" s="1485">
        <v>0</v>
      </c>
      <c r="E6" s="1485">
        <v>0</v>
      </c>
      <c r="F6" s="1485">
        <v>0</v>
      </c>
      <c r="G6" s="1485">
        <v>0</v>
      </c>
      <c r="H6" s="1485">
        <v>0</v>
      </c>
      <c r="I6" s="1485">
        <v>0</v>
      </c>
      <c r="J6" s="1485">
        <v>0</v>
      </c>
      <c r="K6" s="1485">
        <v>0</v>
      </c>
      <c r="L6" s="1485">
        <v>45472.5766551814</v>
      </c>
      <c r="M6" s="1485">
        <v>1969.63791232428</v>
      </c>
      <c r="N6" s="1485">
        <v>1969.63791232428</v>
      </c>
      <c r="O6" s="1485">
        <v>1969.63791232428</v>
      </c>
      <c r="P6" s="1485">
        <v>0</v>
      </c>
      <c r="Q6" s="1485">
        <v>0</v>
      </c>
      <c r="R6" s="1485">
        <v>0</v>
      </c>
      <c r="S6" s="1485">
        <v>0</v>
      </c>
      <c r="T6" s="1485">
        <v>0</v>
      </c>
      <c r="U6" s="1485">
        <v>0</v>
      </c>
      <c r="V6" s="1485">
        <v>0</v>
      </c>
      <c r="W6" s="1485">
        <v>0</v>
      </c>
      <c r="X6" s="1485">
        <v>0</v>
      </c>
      <c r="Y6" s="1485">
        <v>0</v>
      </c>
      <c r="Z6" s="1485">
        <v>0</v>
      </c>
      <c r="AA6" s="1485">
        <v>0</v>
      </c>
      <c r="AB6" s="1485">
        <v>0</v>
      </c>
      <c r="AC6" s="1485">
        <v>0</v>
      </c>
      <c r="AD6" s="1485">
        <v>0</v>
      </c>
      <c r="AE6" s="1485">
        <v>0</v>
      </c>
      <c r="AF6" s="1485">
        <v>0</v>
      </c>
      <c r="AG6" s="1485">
        <v>0</v>
      </c>
      <c r="AH6" s="1485">
        <v>0</v>
      </c>
      <c r="AI6" s="1485">
        <v>0</v>
      </c>
      <c r="AJ6" s="1485">
        <v>0</v>
      </c>
      <c r="AK6" s="1485">
        <v>0</v>
      </c>
      <c r="AL6" s="1485">
        <v>0</v>
      </c>
      <c r="AM6" s="1485">
        <v>0</v>
      </c>
      <c r="AN6" s="1485">
        <v>0</v>
      </c>
      <c r="AO6" s="1485">
        <v>0</v>
      </c>
      <c r="AP6" s="1485">
        <v>0</v>
      </c>
      <c r="AQ6" s="1485">
        <v>0</v>
      </c>
      <c r="AR6" s="1485">
        <v>0</v>
      </c>
    </row>
    <row r="7" outlineLevel="1" spans="1:44">
      <c r="A7" s="1546" t="s">
        <v>334</v>
      </c>
      <c r="B7" s="1543">
        <v>42235.8628571429</v>
      </c>
      <c r="C7" s="1543"/>
      <c r="D7" s="1547"/>
      <c r="E7" s="1543"/>
      <c r="F7" s="1543"/>
      <c r="G7" s="1543"/>
      <c r="H7" s="1547"/>
      <c r="I7" s="1543"/>
      <c r="J7" s="1561"/>
      <c r="K7" s="1543"/>
      <c r="L7" s="1543">
        <v>42235.8628571429</v>
      </c>
      <c r="M7" s="1543"/>
      <c r="N7" s="1543"/>
      <c r="O7" s="1543"/>
      <c r="P7" s="1543"/>
      <c r="Q7" s="1543"/>
      <c r="R7" s="1543"/>
      <c r="S7" s="1543"/>
      <c r="T7" s="1543"/>
      <c r="U7" s="1543"/>
      <c r="V7" s="1543"/>
      <c r="W7" s="1543"/>
      <c r="X7" s="1543"/>
      <c r="Y7" s="1543"/>
      <c r="Z7" s="1543"/>
      <c r="AA7" s="1543"/>
      <c r="AB7" s="1543"/>
      <c r="AC7" s="1543"/>
      <c r="AD7" s="1543"/>
      <c r="AE7" s="1543"/>
      <c r="AF7" s="1543"/>
      <c r="AG7" s="1543"/>
      <c r="AH7" s="1543"/>
      <c r="AI7" s="1543"/>
      <c r="AJ7" s="1543"/>
      <c r="AK7" s="1543"/>
      <c r="AL7" s="1543"/>
      <c r="AM7" s="1543"/>
      <c r="AN7" s="1543"/>
      <c r="AO7" s="1543"/>
      <c r="AP7" s="1543"/>
      <c r="AQ7" s="1543"/>
      <c r="AR7" s="1543"/>
    </row>
    <row r="8" outlineLevel="1" spans="1:44">
      <c r="A8" s="1546" t="s">
        <v>335</v>
      </c>
      <c r="B8" s="1543">
        <v>1267.07588571429</v>
      </c>
      <c r="C8" s="1543"/>
      <c r="D8" s="1543"/>
      <c r="E8" s="1543"/>
      <c r="F8" s="1543"/>
      <c r="G8" s="1543"/>
      <c r="H8" s="1543"/>
      <c r="I8" s="1543"/>
      <c r="J8" s="1543"/>
      <c r="K8" s="1543"/>
      <c r="L8" s="1543">
        <v>1267.07588571429</v>
      </c>
      <c r="M8" s="1543"/>
      <c r="N8" s="1543"/>
      <c r="O8" s="1543"/>
      <c r="P8" s="1543"/>
      <c r="Q8" s="1543"/>
      <c r="R8" s="1543"/>
      <c r="S8" s="1543"/>
      <c r="T8" s="1543"/>
      <c r="U8" s="1543"/>
      <c r="V8" s="1543"/>
      <c r="W8" s="1543"/>
      <c r="X8" s="1543"/>
      <c r="Y8" s="1543"/>
      <c r="Z8" s="1543"/>
      <c r="AA8" s="1543"/>
      <c r="AB8" s="1543"/>
      <c r="AC8" s="1543"/>
      <c r="AD8" s="1543"/>
      <c r="AE8" s="1543"/>
      <c r="AF8" s="1543"/>
      <c r="AG8" s="1543"/>
      <c r="AH8" s="1543"/>
      <c r="AI8" s="1543"/>
      <c r="AJ8" s="1543"/>
      <c r="AK8" s="1543"/>
      <c r="AL8" s="1543"/>
      <c r="AM8" s="1543"/>
      <c r="AN8" s="1543"/>
      <c r="AO8" s="1543"/>
      <c r="AP8" s="1543"/>
      <c r="AQ8" s="1543"/>
      <c r="AR8" s="1543"/>
    </row>
    <row r="9" outlineLevel="1" spans="1:44">
      <c r="A9" s="1546" t="s">
        <v>336</v>
      </c>
      <c r="B9" s="1543">
        <v>7878.5516492971</v>
      </c>
      <c r="C9" s="1543"/>
      <c r="D9" s="1543"/>
      <c r="E9" s="1543"/>
      <c r="F9" s="1543"/>
      <c r="G9" s="1543"/>
      <c r="H9" s="1543"/>
      <c r="I9" s="1543"/>
      <c r="J9" s="1543"/>
      <c r="K9" s="1543"/>
      <c r="L9" s="1543">
        <v>1969.63791232428</v>
      </c>
      <c r="M9" s="1543">
        <v>1969.63791232428</v>
      </c>
      <c r="N9" s="1543">
        <v>1969.63791232428</v>
      </c>
      <c r="O9" s="1543">
        <v>1969.63791232428</v>
      </c>
      <c r="P9" s="1543"/>
      <c r="Q9" s="1543"/>
      <c r="R9" s="1543"/>
      <c r="S9" s="1543"/>
      <c r="T9" s="1543"/>
      <c r="U9" s="1543"/>
      <c r="V9" s="1543"/>
      <c r="W9" s="1543"/>
      <c r="X9" s="1543"/>
      <c r="Y9" s="1543"/>
      <c r="Z9" s="1543"/>
      <c r="AA9" s="1543"/>
      <c r="AB9" s="1543"/>
      <c r="AC9" s="1543"/>
      <c r="AD9" s="1543"/>
      <c r="AE9" s="1543"/>
      <c r="AF9" s="1543"/>
      <c r="AG9" s="1543"/>
      <c r="AH9" s="1543"/>
      <c r="AI9" s="1543"/>
      <c r="AJ9" s="1543"/>
      <c r="AK9" s="1543"/>
      <c r="AL9" s="1543"/>
      <c r="AM9" s="1543"/>
      <c r="AN9" s="1543"/>
      <c r="AO9" s="1543"/>
      <c r="AP9" s="1543"/>
      <c r="AQ9" s="1543"/>
      <c r="AR9" s="1543"/>
    </row>
    <row r="10" ht="12.75" outlineLevel="1" spans="1:44">
      <c r="A10" s="1545" t="s">
        <v>337</v>
      </c>
      <c r="B10" s="1485">
        <v>116961.168413789</v>
      </c>
      <c r="C10" s="1485">
        <v>0</v>
      </c>
      <c r="D10" s="1485">
        <v>0</v>
      </c>
      <c r="E10" s="1485">
        <v>0</v>
      </c>
      <c r="F10" s="1485">
        <v>0</v>
      </c>
      <c r="G10" s="1485">
        <v>0</v>
      </c>
      <c r="H10" s="1485">
        <v>0</v>
      </c>
      <c r="I10" s="1485">
        <v>0</v>
      </c>
      <c r="J10" s="1485">
        <v>0</v>
      </c>
      <c r="K10" s="1485">
        <v>0</v>
      </c>
      <c r="L10" s="1485">
        <v>0</v>
      </c>
      <c r="M10" s="1485">
        <v>0</v>
      </c>
      <c r="N10" s="1485">
        <v>1468.36244811058</v>
      </c>
      <c r="O10" s="1485">
        <v>3944.62621665598</v>
      </c>
      <c r="P10" s="1485">
        <v>6674.17074174068</v>
      </c>
      <c r="Q10" s="1485">
        <v>9573.13272534719</v>
      </c>
      <c r="R10" s="1485">
        <v>14596.3144226859</v>
      </c>
      <c r="S10" s="1485">
        <v>14886.0686432243</v>
      </c>
      <c r="T10" s="1485">
        <v>13598.1267934953</v>
      </c>
      <c r="U10" s="1485">
        <v>12486.9390487109</v>
      </c>
      <c r="V10" s="1485">
        <v>10188.7692627649</v>
      </c>
      <c r="W10" s="1485">
        <v>9057.10144447835</v>
      </c>
      <c r="X10" s="1485">
        <v>6581.48073044156</v>
      </c>
      <c r="Y10" s="1485">
        <v>5702.27758470267</v>
      </c>
      <c r="Z10" s="1485">
        <v>3355.59087711823</v>
      </c>
      <c r="AA10" s="1485">
        <v>3089.80118283504</v>
      </c>
      <c r="AB10" s="1485">
        <v>879.203145738899</v>
      </c>
      <c r="AC10" s="1485">
        <v>879.2031457389</v>
      </c>
      <c r="AD10" s="1485">
        <v>0</v>
      </c>
      <c r="AE10" s="1485">
        <v>0</v>
      </c>
      <c r="AF10" s="1485">
        <v>0</v>
      </c>
      <c r="AG10" s="1485">
        <v>0</v>
      </c>
      <c r="AH10" s="1485">
        <v>0</v>
      </c>
      <c r="AI10" s="1485">
        <v>0</v>
      </c>
      <c r="AJ10" s="1485">
        <v>0</v>
      </c>
      <c r="AK10" s="1485">
        <v>0</v>
      </c>
      <c r="AL10" s="1485">
        <v>0</v>
      </c>
      <c r="AM10" s="1485"/>
      <c r="AN10" s="1485"/>
      <c r="AO10" s="1485"/>
      <c r="AP10" s="1485"/>
      <c r="AQ10" s="1485"/>
      <c r="AR10" s="1485"/>
    </row>
    <row r="11" outlineLevel="1" spans="1:44">
      <c r="A11" s="1546" t="s">
        <v>338</v>
      </c>
      <c r="B11" s="1543">
        <v>105631.203411557</v>
      </c>
      <c r="C11" s="1547">
        <v>0</v>
      </c>
      <c r="D11" s="1547">
        <v>0</v>
      </c>
      <c r="E11" s="1547">
        <v>0</v>
      </c>
      <c r="F11" s="1547">
        <v>0</v>
      </c>
      <c r="G11" s="1547">
        <v>0</v>
      </c>
      <c r="H11" s="1547">
        <v>0</v>
      </c>
      <c r="I11" s="1547">
        <v>0</v>
      </c>
      <c r="J11" s="1547">
        <v>0</v>
      </c>
      <c r="K11" s="1547">
        <v>0</v>
      </c>
      <c r="L11" s="1547">
        <v>0</v>
      </c>
      <c r="M11" s="1547">
        <v>0</v>
      </c>
      <c r="N11" s="1547">
        <v>1326.12297347719</v>
      </c>
      <c r="O11" s="1547">
        <v>3562.51241266692</v>
      </c>
      <c r="P11" s="1547">
        <v>6027.64743876445</v>
      </c>
      <c r="Q11" s="1547">
        <v>8645.7885459852</v>
      </c>
      <c r="R11" s="1547">
        <v>13182.3773543973</v>
      </c>
      <c r="S11" s="1547">
        <v>13444.0632406118</v>
      </c>
      <c r="T11" s="1547">
        <v>12280.8836199221</v>
      </c>
      <c r="U11" s="1547">
        <v>11277.3360298151</v>
      </c>
      <c r="V11" s="1547">
        <v>9201.78870564066</v>
      </c>
      <c r="W11" s="1547">
        <v>8179.74493565345</v>
      </c>
      <c r="X11" s="1547">
        <v>5943.93625863057</v>
      </c>
      <c r="Y11" s="1547">
        <v>5149.90104517354</v>
      </c>
      <c r="Z11" s="1547">
        <v>3030.53660726814</v>
      </c>
      <c r="AA11" s="1547">
        <v>2790.49381663701</v>
      </c>
      <c r="AB11" s="1547">
        <v>794.03521345703</v>
      </c>
      <c r="AC11" s="1547">
        <v>794.035213457031</v>
      </c>
      <c r="AD11" s="1547">
        <v>0</v>
      </c>
      <c r="AE11" s="1547">
        <v>0</v>
      </c>
      <c r="AF11" s="1547">
        <v>0</v>
      </c>
      <c r="AG11" s="1547">
        <v>0</v>
      </c>
      <c r="AH11" s="1547">
        <v>0</v>
      </c>
      <c r="AI11" s="1547">
        <v>0</v>
      </c>
      <c r="AJ11" s="1547">
        <v>0</v>
      </c>
      <c r="AK11" s="1547">
        <v>0</v>
      </c>
      <c r="AL11" s="1547">
        <v>0</v>
      </c>
      <c r="AM11" s="1547">
        <v>0</v>
      </c>
      <c r="AN11" s="1547">
        <v>0</v>
      </c>
      <c r="AO11" s="1547">
        <v>0</v>
      </c>
      <c r="AP11" s="1547">
        <v>0</v>
      </c>
      <c r="AQ11" s="1547">
        <v>0</v>
      </c>
      <c r="AR11" s="1547">
        <v>0</v>
      </c>
    </row>
    <row r="12" outlineLevel="1" spans="1:44">
      <c r="A12" s="1548" t="s">
        <v>339</v>
      </c>
      <c r="B12" s="1543">
        <v>11329.9650022319</v>
      </c>
      <c r="C12" s="1543">
        <v>0</v>
      </c>
      <c r="D12" s="1543">
        <v>0</v>
      </c>
      <c r="E12" s="1543">
        <v>0</v>
      </c>
      <c r="F12" s="1543">
        <v>0</v>
      </c>
      <c r="G12" s="1543">
        <v>0</v>
      </c>
      <c r="H12" s="1543">
        <v>0</v>
      </c>
      <c r="I12" s="1543">
        <v>0</v>
      </c>
      <c r="J12" s="1543">
        <v>0</v>
      </c>
      <c r="K12" s="1543">
        <v>0</v>
      </c>
      <c r="L12" s="1543">
        <v>0</v>
      </c>
      <c r="M12" s="1543">
        <v>0</v>
      </c>
      <c r="N12" s="1543">
        <v>142.239474633386</v>
      </c>
      <c r="O12" s="1543">
        <v>382.113803989064</v>
      </c>
      <c r="P12" s="1543">
        <v>646.523302976228</v>
      </c>
      <c r="Q12" s="1543">
        <v>927.344179361985</v>
      </c>
      <c r="R12" s="1543">
        <v>1413.93706828861</v>
      </c>
      <c r="S12" s="1543">
        <v>1442.00540261248</v>
      </c>
      <c r="T12" s="1543">
        <v>1317.24317357324</v>
      </c>
      <c r="U12" s="1543">
        <v>1209.60301889578</v>
      </c>
      <c r="V12" s="1543">
        <v>986.980557124225</v>
      </c>
      <c r="W12" s="1543">
        <v>877.356508824902</v>
      </c>
      <c r="X12" s="1543">
        <v>637.544471810998</v>
      </c>
      <c r="Y12" s="1543">
        <v>552.376539529129</v>
      </c>
      <c r="Z12" s="1543">
        <v>325.054269850094</v>
      </c>
      <c r="AA12" s="1543">
        <v>299.307366198032</v>
      </c>
      <c r="AB12" s="1543">
        <v>85.1679322818692</v>
      </c>
      <c r="AC12" s="1543">
        <v>85.1679322818693</v>
      </c>
      <c r="AD12" s="1543">
        <v>0</v>
      </c>
      <c r="AE12" s="1543">
        <v>0</v>
      </c>
      <c r="AF12" s="1543">
        <v>0</v>
      </c>
      <c r="AG12" s="1543">
        <v>0</v>
      </c>
      <c r="AH12" s="1543">
        <v>0</v>
      </c>
      <c r="AI12" s="1543">
        <v>0</v>
      </c>
      <c r="AJ12" s="1543">
        <v>0</v>
      </c>
      <c r="AK12" s="1543">
        <v>0</v>
      </c>
      <c r="AL12" s="1543">
        <v>0</v>
      </c>
      <c r="AM12" s="1543">
        <v>0</v>
      </c>
      <c r="AN12" s="1543">
        <v>0</v>
      </c>
      <c r="AO12" s="1543">
        <v>0</v>
      </c>
      <c r="AP12" s="1543">
        <v>0</v>
      </c>
      <c r="AQ12" s="1543">
        <v>0</v>
      </c>
      <c r="AR12" s="1543">
        <v>0</v>
      </c>
    </row>
    <row r="13" ht="12.75" outlineLevel="1" spans="1:44">
      <c r="A13" s="1545" t="s">
        <v>340</v>
      </c>
      <c r="B13" s="1485">
        <v>15429.2799172248</v>
      </c>
      <c r="C13" s="1485">
        <v>0</v>
      </c>
      <c r="D13" s="1485">
        <v>0</v>
      </c>
      <c r="E13" s="1485">
        <v>0</v>
      </c>
      <c r="F13" s="1485">
        <v>0</v>
      </c>
      <c r="G13" s="1485"/>
      <c r="H13" s="1485">
        <v>0</v>
      </c>
      <c r="I13" s="1485">
        <v>0</v>
      </c>
      <c r="J13" s="1485">
        <v>0</v>
      </c>
      <c r="K13" s="1485">
        <v>0</v>
      </c>
      <c r="L13" s="1485">
        <v>0</v>
      </c>
      <c r="M13" s="1485">
        <v>0</v>
      </c>
      <c r="N13" s="1485">
        <v>0</v>
      </c>
      <c r="O13" s="1485">
        <v>0</v>
      </c>
      <c r="P13" s="1485">
        <v>1411.69967355504</v>
      </c>
      <c r="Q13" s="1485">
        <v>1764.62459194379</v>
      </c>
      <c r="R13" s="1485">
        <v>1764.62459194379</v>
      </c>
      <c r="S13" s="1485">
        <v>1764.62459194379</v>
      </c>
      <c r="T13" s="1485">
        <v>1764.62459194379</v>
      </c>
      <c r="U13" s="1485">
        <v>1764.62459194379</v>
      </c>
      <c r="V13" s="1485">
        <v>1764.62459194379</v>
      </c>
      <c r="W13" s="1485">
        <v>2814.45113728336</v>
      </c>
      <c r="X13" s="1485">
        <v>615.381554723651</v>
      </c>
      <c r="Y13" s="1485">
        <v>0</v>
      </c>
      <c r="Z13" s="1485">
        <v>0</v>
      </c>
      <c r="AA13" s="1485">
        <v>0</v>
      </c>
      <c r="AB13" s="1485">
        <v>0</v>
      </c>
      <c r="AC13" s="1485">
        <v>0</v>
      </c>
      <c r="AD13" s="1485">
        <v>0</v>
      </c>
      <c r="AE13" s="1485">
        <v>0</v>
      </c>
      <c r="AF13" s="1485">
        <v>0</v>
      </c>
      <c r="AG13" s="1485">
        <v>0</v>
      </c>
      <c r="AH13" s="1485">
        <v>0</v>
      </c>
      <c r="AI13" s="1485">
        <v>0</v>
      </c>
      <c r="AJ13" s="1485">
        <v>0</v>
      </c>
      <c r="AK13" s="1485">
        <v>0</v>
      </c>
      <c r="AL13" s="1485">
        <v>0</v>
      </c>
      <c r="AM13" s="1485">
        <v>0</v>
      </c>
      <c r="AN13" s="1485">
        <v>0</v>
      </c>
      <c r="AO13" s="1485">
        <v>0</v>
      </c>
      <c r="AP13" s="1485">
        <v>0</v>
      </c>
      <c r="AQ13" s="1485">
        <v>0</v>
      </c>
      <c r="AR13" s="1485">
        <v>0</v>
      </c>
    </row>
    <row r="14" outlineLevel="1" spans="1:44">
      <c r="A14" s="1549" t="s">
        <v>341</v>
      </c>
      <c r="B14" s="1550">
        <v>10111.4199448165</v>
      </c>
      <c r="C14" s="1550">
        <v>0</v>
      </c>
      <c r="D14" s="1550">
        <v>0</v>
      </c>
      <c r="E14" s="1550">
        <v>0</v>
      </c>
      <c r="F14" s="1550">
        <v>0</v>
      </c>
      <c r="G14" s="1550">
        <v>0</v>
      </c>
      <c r="H14" s="1550">
        <v>0</v>
      </c>
      <c r="I14" s="1550">
        <v>0</v>
      </c>
      <c r="J14" s="1550">
        <v>0</v>
      </c>
      <c r="K14" s="1550">
        <v>0</v>
      </c>
      <c r="L14" s="1550">
        <v>0</v>
      </c>
      <c r="M14" s="1550">
        <v>0</v>
      </c>
      <c r="N14" s="1550">
        <v>0</v>
      </c>
      <c r="O14" s="1550">
        <v>0</v>
      </c>
      <c r="P14" s="1550">
        <v>925.142865503398</v>
      </c>
      <c r="Q14" s="1550">
        <v>1156.42858187925</v>
      </c>
      <c r="R14" s="1550">
        <v>1156.42858187925</v>
      </c>
      <c r="S14" s="1550">
        <v>1156.42858187925</v>
      </c>
      <c r="T14" s="1550">
        <v>1156.42858187925</v>
      </c>
      <c r="U14" s="1550">
        <v>1156.42858187925</v>
      </c>
      <c r="V14" s="1550">
        <v>1156.42858187925</v>
      </c>
      <c r="W14" s="1550">
        <v>1844.4216137053</v>
      </c>
      <c r="X14" s="1550">
        <v>403.283974332363</v>
      </c>
      <c r="Y14" s="1550">
        <v>0</v>
      </c>
      <c r="Z14" s="1550">
        <v>0</v>
      </c>
      <c r="AA14" s="1550">
        <v>0</v>
      </c>
      <c r="AB14" s="1550">
        <v>0</v>
      </c>
      <c r="AC14" s="1550">
        <v>0</v>
      </c>
      <c r="AD14" s="1550">
        <v>0</v>
      </c>
      <c r="AE14" s="1550">
        <v>0</v>
      </c>
      <c r="AF14" s="1550">
        <v>0</v>
      </c>
      <c r="AG14" s="1550">
        <v>0</v>
      </c>
      <c r="AH14" s="1550">
        <v>0</v>
      </c>
      <c r="AI14" s="1550">
        <v>0</v>
      </c>
      <c r="AJ14" s="1550">
        <v>0</v>
      </c>
      <c r="AK14" s="1550">
        <v>0</v>
      </c>
      <c r="AL14" s="1550">
        <v>0</v>
      </c>
      <c r="AM14" s="1550">
        <v>0</v>
      </c>
      <c r="AN14" s="1550">
        <v>0</v>
      </c>
      <c r="AO14" s="1550">
        <v>0</v>
      </c>
      <c r="AP14" s="1550">
        <v>0</v>
      </c>
      <c r="AQ14" s="1550">
        <v>0</v>
      </c>
      <c r="AR14" s="1550">
        <v>0</v>
      </c>
    </row>
    <row r="15" outlineLevel="1" spans="1:44">
      <c r="A15" s="1549" t="s">
        <v>342</v>
      </c>
      <c r="B15" s="1550">
        <v>5317.85997240827</v>
      </c>
      <c r="C15" s="1550">
        <v>0</v>
      </c>
      <c r="D15" s="1550">
        <v>0</v>
      </c>
      <c r="E15" s="1550">
        <v>0</v>
      </c>
      <c r="F15" s="1550">
        <v>0</v>
      </c>
      <c r="G15" s="1550">
        <v>0</v>
      </c>
      <c r="H15" s="1550">
        <v>0</v>
      </c>
      <c r="I15" s="1550">
        <v>0</v>
      </c>
      <c r="J15" s="1550">
        <v>0</v>
      </c>
      <c r="K15" s="1550">
        <v>0</v>
      </c>
      <c r="L15" s="1550">
        <v>0</v>
      </c>
      <c r="M15" s="1550">
        <v>0</v>
      </c>
      <c r="N15" s="1550">
        <v>0</v>
      </c>
      <c r="O15" s="1550">
        <v>0</v>
      </c>
      <c r="P15" s="1550">
        <v>486.556808051638</v>
      </c>
      <c r="Q15" s="1550">
        <v>608.196010064548</v>
      </c>
      <c r="R15" s="1550">
        <v>608.196010064548</v>
      </c>
      <c r="S15" s="1550">
        <v>608.196010064548</v>
      </c>
      <c r="T15" s="1550">
        <v>608.196010064548</v>
      </c>
      <c r="U15" s="1550">
        <v>608.196010064548</v>
      </c>
      <c r="V15" s="1550">
        <v>608.196010064548</v>
      </c>
      <c r="W15" s="1550">
        <v>970.029523578061</v>
      </c>
      <c r="X15" s="1550">
        <v>212.097580391288</v>
      </c>
      <c r="Y15" s="1550">
        <v>0</v>
      </c>
      <c r="Z15" s="1550">
        <v>0</v>
      </c>
      <c r="AA15" s="1550">
        <v>0</v>
      </c>
      <c r="AB15" s="1550">
        <v>0</v>
      </c>
      <c r="AC15" s="1550">
        <v>0</v>
      </c>
      <c r="AD15" s="1550">
        <v>0</v>
      </c>
      <c r="AE15" s="1550">
        <v>0</v>
      </c>
      <c r="AF15" s="1550">
        <v>0</v>
      </c>
      <c r="AG15" s="1550">
        <v>0</v>
      </c>
      <c r="AH15" s="1550">
        <v>0</v>
      </c>
      <c r="AI15" s="1550">
        <v>0</v>
      </c>
      <c r="AJ15" s="1550">
        <v>0</v>
      </c>
      <c r="AK15" s="1550">
        <v>0</v>
      </c>
      <c r="AL15" s="1550">
        <v>0</v>
      </c>
      <c r="AM15" s="1550">
        <v>0</v>
      </c>
      <c r="AN15" s="1550">
        <v>0</v>
      </c>
      <c r="AO15" s="1550">
        <v>0</v>
      </c>
      <c r="AP15" s="1550">
        <v>0</v>
      </c>
      <c r="AQ15" s="1550">
        <v>0</v>
      </c>
      <c r="AR15" s="1550">
        <v>0</v>
      </c>
    </row>
    <row r="16" ht="12.75" outlineLevel="1" spans="1:44">
      <c r="A16" s="1545" t="s">
        <v>343</v>
      </c>
      <c r="B16" s="1485">
        <v>13246.6125463126</v>
      </c>
      <c r="C16" s="1485">
        <v>0</v>
      </c>
      <c r="D16" s="1485">
        <v>0</v>
      </c>
      <c r="E16" s="1485">
        <v>0</v>
      </c>
      <c r="F16" s="1485">
        <v>0</v>
      </c>
      <c r="G16" s="1485">
        <v>0</v>
      </c>
      <c r="H16" s="1485">
        <v>0</v>
      </c>
      <c r="I16" s="1485">
        <v>0</v>
      </c>
      <c r="J16" s="1485">
        <v>0</v>
      </c>
      <c r="K16" s="1485">
        <v>0</v>
      </c>
      <c r="L16" s="1485">
        <v>0</v>
      </c>
      <c r="M16" s="1485">
        <v>0</v>
      </c>
      <c r="N16" s="1485">
        <v>0</v>
      </c>
      <c r="O16" s="1485">
        <v>0</v>
      </c>
      <c r="P16" s="1485">
        <v>1211.99684675259</v>
      </c>
      <c r="Q16" s="1485">
        <v>1514.99605844074</v>
      </c>
      <c r="R16" s="1485">
        <v>1514.99605844074</v>
      </c>
      <c r="S16" s="1485">
        <v>1514.99605844074</v>
      </c>
      <c r="T16" s="1485">
        <v>1514.99605844074</v>
      </c>
      <c r="U16" s="1485">
        <v>1514.99605844074</v>
      </c>
      <c r="V16" s="1485">
        <v>1514.99605844074</v>
      </c>
      <c r="W16" s="1485">
        <v>2416.3113214701</v>
      </c>
      <c r="X16" s="1485">
        <v>528.328027445489</v>
      </c>
      <c r="Y16" s="1485">
        <v>0</v>
      </c>
      <c r="Z16" s="1485">
        <v>0</v>
      </c>
      <c r="AA16" s="1485">
        <v>0</v>
      </c>
      <c r="AB16" s="1485">
        <v>0</v>
      </c>
      <c r="AC16" s="1485">
        <v>0</v>
      </c>
      <c r="AD16" s="1485">
        <v>0</v>
      </c>
      <c r="AE16" s="1485">
        <v>0</v>
      </c>
      <c r="AF16" s="1485">
        <v>0</v>
      </c>
      <c r="AG16" s="1485">
        <v>0</v>
      </c>
      <c r="AH16" s="1485">
        <v>0</v>
      </c>
      <c r="AI16" s="1485">
        <v>0</v>
      </c>
      <c r="AJ16" s="1485">
        <v>0</v>
      </c>
      <c r="AK16" s="1485">
        <v>0</v>
      </c>
      <c r="AL16" s="1485">
        <v>0</v>
      </c>
      <c r="AM16" s="1485">
        <v>0</v>
      </c>
      <c r="AN16" s="1485">
        <v>0</v>
      </c>
      <c r="AO16" s="1485">
        <v>0</v>
      </c>
      <c r="AP16" s="1485">
        <v>0</v>
      </c>
      <c r="AQ16" s="1485">
        <v>0</v>
      </c>
      <c r="AR16" s="1485">
        <v>0</v>
      </c>
    </row>
    <row r="17" outlineLevel="1" spans="1:44">
      <c r="A17" s="1549" t="s">
        <v>344</v>
      </c>
      <c r="B17" s="1550">
        <v>7768.69978577904</v>
      </c>
      <c r="C17" s="1550">
        <v>0</v>
      </c>
      <c r="D17" s="1550">
        <v>0</v>
      </c>
      <c r="E17" s="1550">
        <v>0</v>
      </c>
      <c r="F17" s="1550">
        <v>0</v>
      </c>
      <c r="G17" s="1550">
        <v>0</v>
      </c>
      <c r="H17" s="1550">
        <v>0</v>
      </c>
      <c r="I17" s="1550">
        <v>0</v>
      </c>
      <c r="J17" s="1550">
        <v>0</v>
      </c>
      <c r="K17" s="1550">
        <v>0</v>
      </c>
      <c r="L17" s="1550">
        <v>0</v>
      </c>
      <c r="M17" s="1550">
        <v>0</v>
      </c>
      <c r="N17" s="1550">
        <v>0</v>
      </c>
      <c r="O17" s="1550">
        <v>0</v>
      </c>
      <c r="P17" s="1550">
        <v>710.796032631958</v>
      </c>
      <c r="Q17" s="1550">
        <v>888.495040789948</v>
      </c>
      <c r="R17" s="1550">
        <v>888.495040789948</v>
      </c>
      <c r="S17" s="1550">
        <v>888.495040789948</v>
      </c>
      <c r="T17" s="1550">
        <v>888.495040789948</v>
      </c>
      <c r="U17" s="1550">
        <v>888.495040789948</v>
      </c>
      <c r="V17" s="1550">
        <v>888.495040789948</v>
      </c>
      <c r="W17" s="1550">
        <v>1417.08660835752</v>
      </c>
      <c r="X17" s="1550">
        <v>309.846900049881</v>
      </c>
      <c r="Y17" s="1550">
        <v>0</v>
      </c>
      <c r="Z17" s="1550">
        <v>0</v>
      </c>
      <c r="AA17" s="1550">
        <v>0</v>
      </c>
      <c r="AB17" s="1550">
        <v>0</v>
      </c>
      <c r="AC17" s="1550">
        <v>0</v>
      </c>
      <c r="AD17" s="1550">
        <v>0</v>
      </c>
      <c r="AE17" s="1550">
        <v>0</v>
      </c>
      <c r="AF17" s="1550">
        <v>0</v>
      </c>
      <c r="AG17" s="1550">
        <v>0</v>
      </c>
      <c r="AH17" s="1550">
        <v>0</v>
      </c>
      <c r="AI17" s="1550">
        <v>0</v>
      </c>
      <c r="AJ17" s="1550">
        <v>0</v>
      </c>
      <c r="AK17" s="1550">
        <v>0</v>
      </c>
      <c r="AL17" s="1550">
        <v>0</v>
      </c>
      <c r="AM17" s="1550">
        <v>0</v>
      </c>
      <c r="AN17" s="1550">
        <v>0</v>
      </c>
      <c r="AO17" s="1550">
        <v>0</v>
      </c>
      <c r="AP17" s="1550">
        <v>0</v>
      </c>
      <c r="AQ17" s="1550">
        <v>0</v>
      </c>
      <c r="AR17" s="1550">
        <v>0</v>
      </c>
    </row>
    <row r="18" outlineLevel="1" spans="1:44">
      <c r="A18" s="1549" t="s">
        <v>345</v>
      </c>
      <c r="B18" s="1550">
        <v>4624.22606296372</v>
      </c>
      <c r="C18" s="1550">
        <v>0</v>
      </c>
      <c r="D18" s="1550">
        <v>0</v>
      </c>
      <c r="E18" s="1550">
        <v>0</v>
      </c>
      <c r="F18" s="1550">
        <v>0</v>
      </c>
      <c r="G18" s="1550">
        <v>0</v>
      </c>
      <c r="H18" s="1550">
        <v>0</v>
      </c>
      <c r="I18" s="1550">
        <v>0</v>
      </c>
      <c r="J18" s="1550">
        <v>0</v>
      </c>
      <c r="K18" s="1550">
        <v>0</v>
      </c>
      <c r="L18" s="1550">
        <v>0</v>
      </c>
      <c r="M18" s="1550">
        <v>0</v>
      </c>
      <c r="N18" s="1550">
        <v>0</v>
      </c>
      <c r="O18" s="1550">
        <v>0</v>
      </c>
      <c r="P18" s="1550">
        <v>423.092876566642</v>
      </c>
      <c r="Q18" s="1550">
        <v>528.866095708302</v>
      </c>
      <c r="R18" s="1550">
        <v>528.866095708302</v>
      </c>
      <c r="S18" s="1550">
        <v>528.866095708302</v>
      </c>
      <c r="T18" s="1550">
        <v>528.866095708302</v>
      </c>
      <c r="U18" s="1550">
        <v>528.866095708302</v>
      </c>
      <c r="V18" s="1550">
        <v>528.866095708302</v>
      </c>
      <c r="W18" s="1550">
        <v>843.50393354614</v>
      </c>
      <c r="X18" s="1550">
        <v>184.43267860112</v>
      </c>
      <c r="Y18" s="1550">
        <v>0</v>
      </c>
      <c r="Z18" s="1550">
        <v>0</v>
      </c>
      <c r="AA18" s="1550">
        <v>0</v>
      </c>
      <c r="AB18" s="1550">
        <v>0</v>
      </c>
      <c r="AC18" s="1550">
        <v>0</v>
      </c>
      <c r="AD18" s="1550">
        <v>0</v>
      </c>
      <c r="AE18" s="1550">
        <v>0</v>
      </c>
      <c r="AF18" s="1550">
        <v>0</v>
      </c>
      <c r="AG18" s="1550">
        <v>0</v>
      </c>
      <c r="AH18" s="1550">
        <v>0</v>
      </c>
      <c r="AI18" s="1550">
        <v>0</v>
      </c>
      <c r="AJ18" s="1550">
        <v>0</v>
      </c>
      <c r="AK18" s="1550">
        <v>0</v>
      </c>
      <c r="AL18" s="1550">
        <v>0</v>
      </c>
      <c r="AM18" s="1550">
        <v>0</v>
      </c>
      <c r="AN18" s="1550">
        <v>0</v>
      </c>
      <c r="AO18" s="1550">
        <v>0</v>
      </c>
      <c r="AP18" s="1550">
        <v>0</v>
      </c>
      <c r="AQ18" s="1550">
        <v>0</v>
      </c>
      <c r="AR18" s="1550">
        <v>0</v>
      </c>
    </row>
    <row r="19" outlineLevel="1" spans="1:44">
      <c r="A19" s="1549" t="s">
        <v>346</v>
      </c>
      <c r="B19" s="1550">
        <v>853.686697569865</v>
      </c>
      <c r="C19" s="1550">
        <v>0</v>
      </c>
      <c r="D19" s="1550">
        <v>0</v>
      </c>
      <c r="E19" s="1550">
        <v>0</v>
      </c>
      <c r="F19" s="1550">
        <v>0</v>
      </c>
      <c r="G19" s="1550">
        <v>0</v>
      </c>
      <c r="H19" s="1550">
        <v>0</v>
      </c>
      <c r="I19" s="1550">
        <v>0</v>
      </c>
      <c r="J19" s="1550">
        <v>0</v>
      </c>
      <c r="K19" s="1550">
        <v>0</v>
      </c>
      <c r="L19" s="1550">
        <v>0</v>
      </c>
      <c r="M19" s="1550">
        <v>0</v>
      </c>
      <c r="N19" s="1550">
        <v>0</v>
      </c>
      <c r="O19" s="1550">
        <v>0</v>
      </c>
      <c r="P19" s="1550">
        <v>78.1079375539917</v>
      </c>
      <c r="Q19" s="1550">
        <v>97.6349219424896</v>
      </c>
      <c r="R19" s="1550">
        <v>97.6349219424896</v>
      </c>
      <c r="S19" s="1550">
        <v>97.6349219424896</v>
      </c>
      <c r="T19" s="1550">
        <v>97.6349219424896</v>
      </c>
      <c r="U19" s="1550">
        <v>97.6349219424896</v>
      </c>
      <c r="V19" s="1550">
        <v>97.6349219424896</v>
      </c>
      <c r="W19" s="1550">
        <v>155.720779566448</v>
      </c>
      <c r="X19" s="1550">
        <v>34.0484487944874</v>
      </c>
      <c r="Y19" s="1550">
        <v>0</v>
      </c>
      <c r="Z19" s="1550">
        <v>0</v>
      </c>
      <c r="AA19" s="1550">
        <v>0</v>
      </c>
      <c r="AB19" s="1550">
        <v>0</v>
      </c>
      <c r="AC19" s="1550">
        <v>0</v>
      </c>
      <c r="AD19" s="1550">
        <v>0</v>
      </c>
      <c r="AE19" s="1550">
        <v>0</v>
      </c>
      <c r="AF19" s="1550">
        <v>0</v>
      </c>
      <c r="AG19" s="1550">
        <v>0</v>
      </c>
      <c r="AH19" s="1550">
        <v>0</v>
      </c>
      <c r="AI19" s="1550">
        <v>0</v>
      </c>
      <c r="AJ19" s="1550">
        <v>0</v>
      </c>
      <c r="AK19" s="1550">
        <v>0</v>
      </c>
      <c r="AL19" s="1550">
        <v>0</v>
      </c>
      <c r="AM19" s="1550">
        <v>0</v>
      </c>
      <c r="AN19" s="1550">
        <v>0</v>
      </c>
      <c r="AO19" s="1550">
        <v>0</v>
      </c>
      <c r="AP19" s="1550">
        <v>0</v>
      </c>
      <c r="AQ19" s="1550">
        <v>0</v>
      </c>
      <c r="AR19" s="1550">
        <v>0</v>
      </c>
    </row>
    <row r="20" ht="12.75" outlineLevel="1" spans="1:44">
      <c r="A20" s="1545" t="s">
        <v>347</v>
      </c>
      <c r="B20" s="1485">
        <v>19330.2538532771</v>
      </c>
      <c r="C20" s="1485">
        <v>0</v>
      </c>
      <c r="D20" s="1485">
        <v>0</v>
      </c>
      <c r="E20" s="1485">
        <v>0</v>
      </c>
      <c r="F20" s="1485">
        <v>0</v>
      </c>
      <c r="G20" s="1485">
        <v>0</v>
      </c>
      <c r="H20" s="1485">
        <v>0</v>
      </c>
      <c r="I20" s="1485">
        <v>0</v>
      </c>
      <c r="J20" s="1485">
        <v>0</v>
      </c>
      <c r="K20" s="1485">
        <v>0</v>
      </c>
      <c r="L20" s="1485">
        <v>0</v>
      </c>
      <c r="M20" s="1485">
        <v>0</v>
      </c>
      <c r="N20" s="1485">
        <v>0</v>
      </c>
      <c r="O20" s="1485">
        <v>0</v>
      </c>
      <c r="P20" s="1485">
        <v>0</v>
      </c>
      <c r="Q20" s="1485">
        <v>298.494285239413</v>
      </c>
      <c r="R20" s="1485">
        <v>0</v>
      </c>
      <c r="S20" s="1485">
        <v>0</v>
      </c>
      <c r="T20" s="1485">
        <v>0</v>
      </c>
      <c r="U20" s="1485">
        <v>1492.47142619706</v>
      </c>
      <c r="V20" s="1485">
        <v>0</v>
      </c>
      <c r="W20" s="1485">
        <v>0</v>
      </c>
      <c r="X20" s="1485">
        <v>0</v>
      </c>
      <c r="Y20" s="1485">
        <v>3924.13928304747</v>
      </c>
      <c r="Z20" s="1485">
        <v>5561.70316367039</v>
      </c>
      <c r="AA20" s="1485">
        <v>0</v>
      </c>
      <c r="AB20" s="1485">
        <v>0</v>
      </c>
      <c r="AC20" s="1485">
        <v>8053.44569512276</v>
      </c>
      <c r="AD20" s="1485">
        <v>0</v>
      </c>
      <c r="AE20" s="1485">
        <v>0</v>
      </c>
      <c r="AF20" s="1485">
        <v>0</v>
      </c>
      <c r="AG20" s="1485">
        <v>0</v>
      </c>
      <c r="AH20" s="1485">
        <v>0</v>
      </c>
      <c r="AI20" s="1485">
        <v>0</v>
      </c>
      <c r="AJ20" s="1485">
        <v>0</v>
      </c>
      <c r="AK20" s="1485">
        <v>0</v>
      </c>
      <c r="AL20" s="1485">
        <v>0</v>
      </c>
      <c r="AM20" s="1485">
        <v>0</v>
      </c>
      <c r="AN20" s="1485">
        <v>0</v>
      </c>
      <c r="AO20" s="1485">
        <v>0</v>
      </c>
      <c r="AP20" s="1485">
        <v>0</v>
      </c>
      <c r="AQ20" s="1485">
        <v>0</v>
      </c>
      <c r="AR20" s="1485">
        <v>0</v>
      </c>
    </row>
    <row r="21" outlineLevel="1" spans="1:44">
      <c r="A21" s="1549" t="s">
        <v>348</v>
      </c>
      <c r="B21" s="1550">
        <v>3262.41619724459</v>
      </c>
      <c r="C21" s="1550"/>
      <c r="D21" s="1550"/>
      <c r="E21" s="1550"/>
      <c r="F21" s="1550"/>
      <c r="G21" s="1550"/>
      <c r="H21" s="1550"/>
      <c r="I21" s="1550">
        <v>0</v>
      </c>
      <c r="J21" s="1550"/>
      <c r="K21" s="1550"/>
      <c r="L21" s="1550"/>
      <c r="M21" s="1550">
        <v>0</v>
      </c>
      <c r="N21" s="1550"/>
      <c r="O21" s="1550"/>
      <c r="P21" s="1550"/>
      <c r="Q21" s="1550">
        <v>298.494285239413</v>
      </c>
      <c r="R21" s="1550"/>
      <c r="S21" s="1550"/>
      <c r="T21" s="1550"/>
      <c r="U21" s="1550">
        <v>1492.47142619706</v>
      </c>
      <c r="V21" s="1550"/>
      <c r="W21" s="1550"/>
      <c r="X21" s="1550"/>
      <c r="Y21" s="1550">
        <v>1471.45048580811</v>
      </c>
      <c r="Z21" s="1550"/>
      <c r="AA21" s="1550"/>
      <c r="AB21" s="1550"/>
      <c r="AC21" s="1550">
        <v>0</v>
      </c>
      <c r="AD21" s="1550"/>
      <c r="AE21" s="1550"/>
      <c r="AF21" s="1550"/>
      <c r="AG21" s="1550">
        <v>0</v>
      </c>
      <c r="AH21" s="1550"/>
      <c r="AI21" s="1550"/>
      <c r="AJ21" s="1550"/>
      <c r="AK21" s="1550">
        <v>0</v>
      </c>
      <c r="AL21" s="1550"/>
      <c r="AM21" s="1550"/>
      <c r="AN21" s="1550"/>
      <c r="AO21" s="1550">
        <v>0</v>
      </c>
      <c r="AP21" s="1550"/>
      <c r="AQ21" s="1550"/>
      <c r="AR21" s="1550"/>
    </row>
    <row r="22" outlineLevel="1" spans="1:44">
      <c r="A22" s="1549" t="s">
        <v>349</v>
      </c>
      <c r="B22" s="1550">
        <v>10506.1344923621</v>
      </c>
      <c r="C22" s="1550"/>
      <c r="D22" s="1550"/>
      <c r="E22" s="1550"/>
      <c r="F22" s="1550"/>
      <c r="G22" s="1550"/>
      <c r="H22" s="1550"/>
      <c r="I22" s="1550">
        <v>0</v>
      </c>
      <c r="J22" s="1550"/>
      <c r="K22" s="1550"/>
      <c r="L22" s="1550"/>
      <c r="M22" s="1550">
        <v>0</v>
      </c>
      <c r="N22" s="1550"/>
      <c r="O22" s="1550"/>
      <c r="P22" s="1550"/>
      <c r="Q22" s="1550">
        <v>0</v>
      </c>
      <c r="R22" s="1550"/>
      <c r="S22" s="1550"/>
      <c r="T22" s="1550"/>
      <c r="U22" s="1550">
        <v>0</v>
      </c>
      <c r="V22" s="1550"/>
      <c r="W22" s="1550"/>
      <c r="X22" s="1550"/>
      <c r="Y22" s="1550">
        <v>2452.68879723936</v>
      </c>
      <c r="Z22" s="1550"/>
      <c r="AA22" s="1550"/>
      <c r="AB22" s="1550"/>
      <c r="AC22" s="1550">
        <v>8053.44569512276</v>
      </c>
      <c r="AD22" s="1550"/>
      <c r="AE22" s="1550"/>
      <c r="AF22" s="1550"/>
      <c r="AG22" s="1550">
        <v>0</v>
      </c>
      <c r="AH22" s="1550"/>
      <c r="AI22" s="1550"/>
      <c r="AJ22" s="1550"/>
      <c r="AK22" s="1550">
        <v>0</v>
      </c>
      <c r="AL22" s="1550"/>
      <c r="AM22" s="1550"/>
      <c r="AN22" s="1550"/>
      <c r="AO22" s="1550"/>
      <c r="AP22" s="1550">
        <v>0</v>
      </c>
      <c r="AQ22" s="1550"/>
      <c r="AR22" s="1550"/>
    </row>
    <row r="23" outlineLevel="1" spans="1:44">
      <c r="A23" s="1549" t="s">
        <v>350</v>
      </c>
      <c r="B23" s="1550">
        <v>5561.70316367039</v>
      </c>
      <c r="C23" s="1550">
        <v>0</v>
      </c>
      <c r="D23" s="1550">
        <v>0</v>
      </c>
      <c r="E23" s="1550">
        <v>0</v>
      </c>
      <c r="F23" s="1550">
        <v>0</v>
      </c>
      <c r="G23" s="1550">
        <v>0</v>
      </c>
      <c r="H23" s="1550">
        <v>0</v>
      </c>
      <c r="I23" s="1550">
        <v>0</v>
      </c>
      <c r="J23" s="1550">
        <v>0</v>
      </c>
      <c r="K23" s="1550">
        <v>0</v>
      </c>
      <c r="L23" s="1550">
        <v>0</v>
      </c>
      <c r="M23" s="1550">
        <v>0</v>
      </c>
      <c r="N23" s="1550">
        <v>0</v>
      </c>
      <c r="O23" s="1550">
        <v>0</v>
      </c>
      <c r="P23" s="1550">
        <v>0</v>
      </c>
      <c r="Q23" s="1550">
        <v>0</v>
      </c>
      <c r="R23" s="1550">
        <v>0</v>
      </c>
      <c r="S23" s="1550">
        <v>0</v>
      </c>
      <c r="T23" s="1550">
        <v>0</v>
      </c>
      <c r="U23" s="1550">
        <v>0</v>
      </c>
      <c r="V23" s="1550">
        <v>0</v>
      </c>
      <c r="W23" s="1550">
        <v>0</v>
      </c>
      <c r="X23" s="1550">
        <v>0</v>
      </c>
      <c r="Y23" s="1550">
        <v>0</v>
      </c>
      <c r="Z23" s="1550">
        <v>5561.70316367039</v>
      </c>
      <c r="AA23" s="1550">
        <v>0</v>
      </c>
      <c r="AB23" s="1550">
        <v>0</v>
      </c>
      <c r="AC23" s="1550">
        <v>0</v>
      </c>
      <c r="AD23" s="1550">
        <v>0</v>
      </c>
      <c r="AE23" s="1550">
        <v>0</v>
      </c>
      <c r="AF23" s="1550">
        <v>0</v>
      </c>
      <c r="AG23" s="1550">
        <v>0</v>
      </c>
      <c r="AH23" s="1550">
        <v>0</v>
      </c>
      <c r="AI23" s="1550">
        <v>0</v>
      </c>
      <c r="AJ23" s="1550">
        <v>0</v>
      </c>
      <c r="AK23" s="1550">
        <v>0</v>
      </c>
      <c r="AL23" s="1550">
        <v>0</v>
      </c>
      <c r="AM23" s="1550">
        <v>0</v>
      </c>
      <c r="AN23" s="1550">
        <v>0</v>
      </c>
      <c r="AO23" s="1550">
        <v>0</v>
      </c>
      <c r="AP23" s="1550">
        <v>0</v>
      </c>
      <c r="AQ23" s="1550">
        <v>0</v>
      </c>
      <c r="AR23" s="1550">
        <v>0</v>
      </c>
    </row>
    <row r="24" outlineLevel="1"/>
    <row r="25" s="1538" customFormat="1" spans="1:44">
      <c r="A25" s="1551" t="s">
        <v>351</v>
      </c>
      <c r="B25" s="1551">
        <v>40295.7413717281</v>
      </c>
      <c r="C25" s="1551">
        <v>0</v>
      </c>
      <c r="D25" s="1551">
        <v>0</v>
      </c>
      <c r="E25" s="1551">
        <v>0</v>
      </c>
      <c r="F25" s="1551">
        <v>0</v>
      </c>
      <c r="G25" s="1551">
        <v>0</v>
      </c>
      <c r="H25" s="1551">
        <v>0</v>
      </c>
      <c r="I25" s="1551">
        <v>0</v>
      </c>
      <c r="J25" s="1551">
        <v>0</v>
      </c>
      <c r="K25" s="1551">
        <v>0</v>
      </c>
      <c r="L25" s="1553">
        <v>-45472.5766551814</v>
      </c>
      <c r="M25" s="1551">
        <v>-1969.63791232428</v>
      </c>
      <c r="N25" s="1551">
        <v>-3438.00036043485</v>
      </c>
      <c r="O25" s="1551">
        <v>-5914.26412898026</v>
      </c>
      <c r="P25" s="1551">
        <v>14183.7873874003</v>
      </c>
      <c r="Q25" s="1551">
        <v>16200.8206508396</v>
      </c>
      <c r="R25" s="1551">
        <v>11476.1332387403</v>
      </c>
      <c r="S25" s="1551">
        <v>11186.379018202</v>
      </c>
      <c r="T25" s="1551">
        <v>12474.3208679309</v>
      </c>
      <c r="U25" s="1551">
        <v>12093.0371865183</v>
      </c>
      <c r="V25" s="1551">
        <v>15883.6783986614</v>
      </c>
      <c r="W25" s="1551">
        <v>32526.604408579</v>
      </c>
      <c r="X25" s="1551">
        <v>2510.82334975145</v>
      </c>
      <c r="Y25" s="1551">
        <v>-9626.41686775013</v>
      </c>
      <c r="Z25" s="1551">
        <v>-8917.29404078862</v>
      </c>
      <c r="AA25" s="1551">
        <v>-3089.80118283504</v>
      </c>
      <c r="AB25" s="1551">
        <v>-879.203145738899</v>
      </c>
      <c r="AC25" s="1551">
        <v>-8932.64884086166</v>
      </c>
      <c r="AD25" s="1551">
        <v>0</v>
      </c>
      <c r="AE25" s="1551">
        <v>0</v>
      </c>
      <c r="AF25" s="1551">
        <v>0</v>
      </c>
      <c r="AG25" s="1551">
        <v>0</v>
      </c>
      <c r="AH25" s="1551">
        <v>0</v>
      </c>
      <c r="AI25" s="1551">
        <v>0</v>
      </c>
      <c r="AJ25" s="1551">
        <v>0</v>
      </c>
      <c r="AK25" s="1551">
        <v>0</v>
      </c>
      <c r="AL25" s="1551">
        <v>0</v>
      </c>
      <c r="AM25" s="1551">
        <v>0</v>
      </c>
      <c r="AN25" s="1551">
        <v>0</v>
      </c>
      <c r="AO25" s="1551">
        <v>0</v>
      </c>
      <c r="AP25" s="1551">
        <v>0</v>
      </c>
      <c r="AQ25" s="1551">
        <v>0</v>
      </c>
      <c r="AR25" s="1551">
        <v>0</v>
      </c>
    </row>
    <row r="26" s="1538" customFormat="1" spans="1:44">
      <c r="A26" s="1551" t="s">
        <v>352</v>
      </c>
      <c r="B26" s="1552">
        <v>40295.7413717281</v>
      </c>
      <c r="C26" s="1551">
        <v>0</v>
      </c>
      <c r="D26" s="1551">
        <v>0</v>
      </c>
      <c r="E26" s="1551">
        <v>0</v>
      </c>
      <c r="F26" s="1551">
        <v>0</v>
      </c>
      <c r="G26" s="1551">
        <v>0</v>
      </c>
      <c r="H26" s="1551">
        <v>0</v>
      </c>
      <c r="I26" s="1551">
        <v>0</v>
      </c>
      <c r="J26" s="1551">
        <v>0</v>
      </c>
      <c r="K26" s="1551">
        <v>0</v>
      </c>
      <c r="L26" s="1551">
        <v>-45472.5766551814</v>
      </c>
      <c r="M26" s="1551">
        <v>-47442.2145675057</v>
      </c>
      <c r="N26" s="1551">
        <v>-50880.2149279406</v>
      </c>
      <c r="O26" s="1551">
        <v>-56794.4790569208</v>
      </c>
      <c r="P26" s="1551">
        <v>-42610.6916695205</v>
      </c>
      <c r="Q26" s="1551">
        <v>-26409.8710186809</v>
      </c>
      <c r="R26" s="1551">
        <v>-14933.7377799405</v>
      </c>
      <c r="S26" s="1551">
        <v>-3747.35876173854</v>
      </c>
      <c r="T26" s="1551">
        <v>8726.96210619238</v>
      </c>
      <c r="U26" s="1551">
        <v>20819.9992927107</v>
      </c>
      <c r="V26" s="1551">
        <v>36703.677691372</v>
      </c>
      <c r="W26" s="1551">
        <v>69230.282099951</v>
      </c>
      <c r="X26" s="1551">
        <v>71741.1054497024</v>
      </c>
      <c r="Y26" s="1551">
        <v>62114.6885819523</v>
      </c>
      <c r="Z26" s="1551">
        <v>53197.3945411637</v>
      </c>
      <c r="AA26" s="1551">
        <v>50107.5933583286</v>
      </c>
      <c r="AB26" s="1551">
        <v>49228.3902125897</v>
      </c>
      <c r="AC26" s="1551">
        <v>40295.7413717281</v>
      </c>
      <c r="AD26" s="1551">
        <v>40295.7413717281</v>
      </c>
      <c r="AE26" s="1551">
        <v>40295.7413717281</v>
      </c>
      <c r="AF26" s="1551">
        <v>40295.7413717281</v>
      </c>
      <c r="AG26" s="1551">
        <v>40295.7413717281</v>
      </c>
      <c r="AH26" s="1551">
        <v>40295.7413717281</v>
      </c>
      <c r="AI26" s="1551">
        <v>40295.7413717281</v>
      </c>
      <c r="AJ26" s="1551">
        <v>40295.7413717281</v>
      </c>
      <c r="AK26" s="1551">
        <v>40295.7413717281</v>
      </c>
      <c r="AL26" s="1551">
        <v>40295.7413717281</v>
      </c>
      <c r="AM26" s="1551">
        <v>40295.7413717281</v>
      </c>
      <c r="AN26" s="1551">
        <v>40295.7413717281</v>
      </c>
      <c r="AO26" s="1551">
        <v>40295.7413717281</v>
      </c>
      <c r="AP26" s="1551">
        <v>40295.7413717281</v>
      </c>
      <c r="AQ26" s="1551">
        <v>40295.7413717281</v>
      </c>
      <c r="AR26" s="1551">
        <v>40295.7413717281</v>
      </c>
    </row>
    <row r="27" s="1538" customFormat="1" spans="1:44">
      <c r="A27" s="1553" t="s">
        <v>353</v>
      </c>
      <c r="B27" s="1554">
        <v>6216.27780193206</v>
      </c>
      <c r="C27" s="1551">
        <v>0</v>
      </c>
      <c r="D27" s="1551">
        <v>0</v>
      </c>
      <c r="E27" s="1551">
        <v>0</v>
      </c>
      <c r="F27" s="1551">
        <v>0</v>
      </c>
      <c r="G27" s="1551">
        <v>0</v>
      </c>
      <c r="H27" s="1551">
        <v>0</v>
      </c>
      <c r="I27" s="1551">
        <v>0</v>
      </c>
      <c r="J27" s="1551">
        <v>0</v>
      </c>
      <c r="K27" s="1551">
        <v>0</v>
      </c>
      <c r="L27" s="1551">
        <v>980.502434127349</v>
      </c>
      <c r="M27" s="1551">
        <v>1022.97275161184</v>
      </c>
      <c r="N27" s="1551">
        <v>1097.10463438372</v>
      </c>
      <c r="O27" s="1551">
        <v>1224.63095466485</v>
      </c>
      <c r="P27" s="1551">
        <v>918.793039124036</v>
      </c>
      <c r="Q27" s="1551">
        <v>569.462843840306</v>
      </c>
      <c r="R27" s="1551">
        <v>322.008720879967</v>
      </c>
      <c r="S27" s="1551">
        <v>80.8024232999872</v>
      </c>
      <c r="T27" s="1551">
        <v>0</v>
      </c>
      <c r="U27" s="1551">
        <v>0</v>
      </c>
      <c r="V27" s="1551">
        <v>0</v>
      </c>
      <c r="W27" s="1551">
        <v>0</v>
      </c>
      <c r="X27" s="1551">
        <v>0</v>
      </c>
      <c r="Y27" s="1551">
        <v>0</v>
      </c>
      <c r="Z27" s="1551">
        <v>0</v>
      </c>
      <c r="AA27" s="1551">
        <v>0</v>
      </c>
      <c r="AB27" s="1551">
        <v>0</v>
      </c>
      <c r="AC27" s="1551">
        <v>0</v>
      </c>
      <c r="AD27" s="1551">
        <v>0</v>
      </c>
      <c r="AE27" s="1551">
        <v>0</v>
      </c>
      <c r="AF27" s="1551">
        <v>0</v>
      </c>
      <c r="AG27" s="1551">
        <v>0</v>
      </c>
      <c r="AH27" s="1551">
        <v>0</v>
      </c>
      <c r="AI27" s="1551">
        <v>0</v>
      </c>
      <c r="AJ27" s="1551">
        <v>0</v>
      </c>
      <c r="AK27" s="1551">
        <v>0</v>
      </c>
      <c r="AL27" s="1551">
        <v>0</v>
      </c>
      <c r="AM27" s="1551">
        <v>0</v>
      </c>
      <c r="AN27" s="1551">
        <v>0</v>
      </c>
      <c r="AO27" s="1551">
        <v>0</v>
      </c>
      <c r="AP27" s="1551">
        <v>0</v>
      </c>
      <c r="AQ27" s="1551">
        <v>0</v>
      </c>
      <c r="AR27" s="1551">
        <v>0</v>
      </c>
    </row>
    <row r="28" s="1539" customFormat="1" spans="1:46">
      <c r="A28" s="1555" t="s">
        <v>354</v>
      </c>
      <c r="B28" s="1556">
        <v>0.384601416375824</v>
      </c>
      <c r="C28" s="1557"/>
      <c r="D28" s="1557"/>
      <c r="E28" s="1557"/>
      <c r="F28" s="1557"/>
      <c r="G28" s="1557"/>
      <c r="H28" s="1557"/>
      <c r="I28" s="1557"/>
      <c r="J28" s="1557"/>
      <c r="K28" s="1557"/>
      <c r="L28" s="1557"/>
      <c r="M28" s="1557"/>
      <c r="N28" s="1557"/>
      <c r="O28" s="1557"/>
      <c r="P28" s="1557"/>
      <c r="Q28" s="1557"/>
      <c r="R28" s="1557"/>
      <c r="S28" s="1557"/>
      <c r="T28" s="1557"/>
      <c r="U28" s="1557"/>
      <c r="V28" s="1557"/>
      <c r="W28" s="1557"/>
      <c r="X28" s="1557"/>
      <c r="Y28" s="1557"/>
      <c r="Z28" s="1557"/>
      <c r="AA28" s="1557"/>
      <c r="AB28" s="1557"/>
      <c r="AC28" s="1557"/>
      <c r="AD28" s="1557"/>
      <c r="AE28" s="1557"/>
      <c r="AF28" s="1557"/>
      <c r="AG28" s="1557"/>
      <c r="AH28" s="1557"/>
      <c r="AI28" s="1557"/>
      <c r="AJ28" s="1557"/>
      <c r="AK28" s="1557"/>
      <c r="AL28" s="1557"/>
      <c r="AM28" s="1557"/>
      <c r="AN28" s="1557"/>
      <c r="AO28" s="1557"/>
      <c r="AP28" s="1557"/>
      <c r="AQ28" s="1557"/>
      <c r="AR28" s="1557"/>
      <c r="AS28" s="1557"/>
      <c r="AT28" s="1557"/>
    </row>
    <row r="29" spans="1:6">
      <c r="A29" s="1481" t="s">
        <v>355</v>
      </c>
      <c r="B29" s="1481">
        <v>0</v>
      </c>
      <c r="F29" s="1558"/>
    </row>
    <row r="30" spans="9:9">
      <c r="I30" s="1562"/>
    </row>
    <row r="31" spans="3:26">
      <c r="C31" s="1559"/>
      <c r="D31" s="1560"/>
      <c r="E31" s="1560"/>
      <c r="F31" s="1560"/>
      <c r="G31" s="1560"/>
      <c r="H31" s="1560"/>
      <c r="I31" s="1562"/>
      <c r="J31" s="1560"/>
      <c r="K31" s="1560"/>
      <c r="L31" s="1560"/>
      <c r="M31" s="1560"/>
      <c r="N31" s="1560"/>
      <c r="O31" s="1560"/>
      <c r="P31" s="1560"/>
      <c r="Q31" s="1560"/>
      <c r="R31" s="1560"/>
      <c r="S31" s="1560"/>
      <c r="T31" s="1560"/>
      <c r="U31" s="1560"/>
      <c r="V31" s="1560"/>
      <c r="W31" s="1560"/>
      <c r="X31" s="1560"/>
      <c r="Y31" s="1560"/>
      <c r="Z31" s="1560"/>
    </row>
    <row r="32" spans="9:9">
      <c r="I32" s="1562"/>
    </row>
    <row r="33" spans="4:26">
      <c r="D33" s="1560"/>
      <c r="E33" s="1560"/>
      <c r="F33" s="1560"/>
      <c r="G33" s="1560"/>
      <c r="H33" s="1560"/>
      <c r="I33" s="1560"/>
      <c r="J33" s="1560"/>
      <c r="K33" s="1560"/>
      <c r="L33" s="1560"/>
      <c r="M33" s="1560"/>
      <c r="N33" s="1560"/>
      <c r="O33" s="1560"/>
      <c r="P33" s="1560"/>
      <c r="Q33" s="1560"/>
      <c r="R33" s="1560"/>
      <c r="S33" s="1560"/>
      <c r="T33" s="1560"/>
      <c r="U33" s="1560"/>
      <c r="V33" s="1560"/>
      <c r="W33" s="1560"/>
      <c r="X33" s="1560"/>
      <c r="Y33" s="1560"/>
      <c r="Z33" s="1560"/>
    </row>
    <row r="34" spans="5:27">
      <c r="E34" s="1560"/>
      <c r="F34" s="1560"/>
      <c r="G34" s="1560"/>
      <c r="H34" s="1560"/>
      <c r="I34" s="1560"/>
      <c r="J34" s="1560"/>
      <c r="K34" s="1560"/>
      <c r="L34" s="1560"/>
      <c r="M34" s="1560"/>
      <c r="N34" s="1560"/>
      <c r="O34" s="1560"/>
      <c r="P34" s="1560"/>
      <c r="Q34" s="1560"/>
      <c r="R34" s="1560"/>
      <c r="S34" s="1560"/>
      <c r="T34" s="1560"/>
      <c r="U34" s="1560"/>
      <c r="V34" s="1560"/>
      <c r="W34" s="1560"/>
      <c r="X34" s="1560"/>
      <c r="Y34" s="1560"/>
      <c r="Z34" s="1560"/>
      <c r="AA34" s="1560"/>
    </row>
    <row r="35" spans="5:34">
      <c r="E35" s="1560"/>
      <c r="F35" s="1560"/>
      <c r="G35" s="1560"/>
      <c r="H35" s="1560"/>
      <c r="I35" s="1560"/>
      <c r="J35" s="1560"/>
      <c r="K35" s="1560"/>
      <c r="L35" s="1560"/>
      <c r="M35" s="1560"/>
      <c r="N35" s="1560"/>
      <c r="O35" s="1560"/>
      <c r="P35" s="1560"/>
      <c r="Q35" s="1560"/>
      <c r="R35" s="1560"/>
      <c r="S35" s="1560"/>
      <c r="T35" s="1560"/>
      <c r="U35" s="1560"/>
      <c r="V35" s="1560"/>
      <c r="W35" s="1560"/>
      <c r="X35" s="1560"/>
      <c r="Y35" s="1560"/>
      <c r="Z35" s="1560"/>
      <c r="AA35" s="1560"/>
      <c r="AB35" s="1560"/>
      <c r="AC35" s="1560"/>
      <c r="AD35" s="1560"/>
      <c r="AE35" s="1560"/>
      <c r="AF35" s="1560"/>
      <c r="AG35" s="1560"/>
      <c r="AH35" s="1560"/>
    </row>
    <row r="39" spans="5:33">
      <c r="E39" s="1560"/>
      <c r="F39" s="1560"/>
      <c r="G39" s="1560"/>
      <c r="H39" s="1560"/>
      <c r="I39" s="1560"/>
      <c r="J39" s="1560"/>
      <c r="K39" s="1560"/>
      <c r="L39" s="1560"/>
      <c r="M39" s="1560"/>
      <c r="N39" s="1560"/>
      <c r="O39" s="1560"/>
      <c r="P39" s="1560"/>
      <c r="Q39" s="1560"/>
      <c r="R39" s="1560"/>
      <c r="S39" s="1560"/>
      <c r="T39" s="1560"/>
      <c r="U39" s="1560"/>
      <c r="V39" s="1560"/>
      <c r="W39" s="1560"/>
      <c r="X39" s="1560"/>
      <c r="Y39" s="1560"/>
      <c r="Z39" s="1560"/>
      <c r="AA39" s="1560"/>
      <c r="AB39" s="1560"/>
      <c r="AC39" s="1560"/>
      <c r="AD39" s="1560"/>
      <c r="AE39" s="1560"/>
      <c r="AF39" s="1560"/>
      <c r="AG39" s="1560"/>
    </row>
  </sheetData>
  <autoFilter ref="A25:AR29"/>
  <mergeCells count="2">
    <mergeCell ref="A1:A2"/>
    <mergeCell ref="B1:B2"/>
  </mergeCells>
  <pageMargins left="0.75" right="0.75" top="1" bottom="1" header="0.5" footer="0.5"/>
  <pageSetup paperSize="9" orientation="portrait"/>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50</vt:i4>
      </vt:variant>
    </vt:vector>
  </HeadingPairs>
  <TitlesOfParts>
    <vt:vector size="50" baseType="lpstr">
      <vt:lpstr>Sheet1</vt:lpstr>
      <vt:lpstr>增值税 敏感)</vt:lpstr>
      <vt:lpstr>地价变动影响表2</vt:lpstr>
      <vt:lpstr>Sheet5</vt:lpstr>
      <vt:lpstr>填报指引</vt:lpstr>
      <vt:lpstr>经济指标</vt:lpstr>
      <vt:lpstr>基础信息</vt:lpstr>
      <vt:lpstr>销售计划</vt:lpstr>
      <vt:lpstr>现金流量</vt:lpstr>
      <vt:lpstr>跟投测算</vt:lpstr>
      <vt:lpstr>勾稽关系</vt:lpstr>
      <vt:lpstr>结算计划</vt:lpstr>
      <vt:lpstr>创造利润</vt:lpstr>
      <vt:lpstr>结算利润</vt:lpstr>
      <vt:lpstr>土地增值税</vt:lpstr>
      <vt:lpstr>工程款付款计划</vt:lpstr>
      <vt:lpstr>成本过渡</vt:lpstr>
      <vt:lpstr>成本汇总</vt:lpstr>
      <vt:lpstr>公摊费用及期间费</vt:lpstr>
      <vt:lpstr>全期规划指标</vt:lpstr>
      <vt:lpstr>地价分摊表</vt:lpstr>
      <vt:lpstr>全期合约金额规划表</vt:lpstr>
      <vt:lpstr>产值规划表</vt:lpstr>
      <vt:lpstr>标准合同目录</vt:lpstr>
      <vt:lpstr>跨期成本分摊明细表</vt:lpstr>
      <vt:lpstr>高层住宅 </vt:lpstr>
      <vt:lpstr>多层洋房</vt:lpstr>
      <vt:lpstr>办公</vt:lpstr>
      <vt:lpstr>街区式商业</vt:lpstr>
      <vt:lpstr>普通地下室</vt:lpstr>
      <vt:lpstr>配套测算表（示例）</vt:lpstr>
      <vt:lpstr>合约规划原则</vt:lpstr>
      <vt:lpstr>价格波动对成本影响的模拟推演</vt:lpstr>
      <vt:lpstr>填表指引</vt:lpstr>
      <vt:lpstr>填表指引 (成本)</vt:lpstr>
      <vt:lpstr>可售底商</vt:lpstr>
      <vt:lpstr>高层18</vt:lpstr>
      <vt:lpstr>超高层(46)</vt:lpstr>
      <vt:lpstr>购物中心-销售部分</vt:lpstr>
      <vt:lpstr>购物中心-持有部分</vt:lpstr>
      <vt:lpstr>保护建筑(销售商业)</vt:lpstr>
      <vt:lpstr>保护建筑(持有商业)</vt:lpstr>
      <vt:lpstr>高层还建房</vt:lpstr>
      <vt:lpstr>持有商业</vt:lpstr>
      <vt:lpstr>公寓</vt:lpstr>
      <vt:lpstr>超市</vt:lpstr>
      <vt:lpstr>办公楼</vt:lpstr>
      <vt:lpstr>独栋</vt:lpstr>
      <vt:lpstr>酒店</vt:lpstr>
      <vt:lpstr>叠拼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kongy01@vanke.com</dc:creator>
  <cp:lastModifiedBy>DWXJA02.张炳刚</cp:lastModifiedBy>
  <dcterms:created xsi:type="dcterms:W3CDTF">2000-01-13T06:59:00Z</dcterms:created>
  <cp:lastPrinted>2012-10-25T06:21:00Z</cp:lastPrinted>
  <dcterms:modified xsi:type="dcterms:W3CDTF">2018-01-12T15:17:20Z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2052-10.8.0.5715</vt:lpwstr>
  </property>
</Properties>
</file>